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d\Documents\AF2\planilhas\ORÇAMENTOS\ORÇAMENTOS\"/>
    </mc:Choice>
  </mc:AlternateContent>
  <xr:revisionPtr revIDLastSave="0" documentId="13_ncr:1_{CF459F43-C240-4FCD-A2ED-0ADA7EEEDCE6}" xr6:coauthVersionLast="47" xr6:coauthVersionMax="47" xr10:uidLastSave="{00000000-0000-0000-0000-000000000000}"/>
  <bookViews>
    <workbookView xWindow="630" yWindow="4110" windowWidth="16140" windowHeight="11835" xr2:uid="{62F56CD8-472C-424D-A273-84B98A399702}"/>
  </bookViews>
  <sheets>
    <sheet name="ORÇAMENTO" sheetId="1" r:id="rId1"/>
    <sheet name="MATERIAIS" sheetId="8" r:id="rId2"/>
    <sheet name="CRONOGRAMA" sheetId="6" r:id="rId3"/>
    <sheet name="MAT." sheetId="9" r:id="rId4"/>
    <sheet name="HISTOGRAMA" sheetId="7" r:id="rId5"/>
    <sheet name="Sheet1" sheetId="4" r:id="rId6"/>
    <sheet name="Planilha1" sheetId="5" r:id="rId7"/>
    <sheet name="Resumo" sheetId="2" r:id="rId8"/>
    <sheet name="Preço unitário" sheetId="3" r:id="rId9"/>
    <sheet name="Planilha2" sheetId="10" r:id="rId10"/>
  </sheets>
  <externalReferences>
    <externalReference r:id="rId11"/>
    <externalReference r:id="rId12"/>
    <externalReference r:id="rId13"/>
  </externalReferences>
  <definedNames>
    <definedName name="_xlnm.Print_Area" localSheetId="2">CRONOGRAMA!$B$1:$L$37</definedName>
    <definedName name="_xlnm.Print_Area" localSheetId="4">HISTOGRAMA!$B$1:$P$102</definedName>
    <definedName name="_xlnm.Print_Area" localSheetId="3">MAT.!$A$1:$F$116</definedName>
    <definedName name="_xlnm.Print_Area" localSheetId="1">MATERIAIS!$A$1:$G$73</definedName>
    <definedName name="_xlnm.Print_Area" localSheetId="0">ORÇAMENTO!$A$1:$G$75</definedName>
    <definedName name="_xlnm.Print_Area" localSheetId="5">Sheet1!$A$1:$F$116</definedName>
    <definedName name="LISTA" localSheetId="4">'[1]MAPA REV0'!#REF!,'[1]MAPA REV0'!#REF!,'[1]MAPA REV0'!#REF!,'[1]MAPA REV0'!#REF!,'[1]MAPA REV0'!#REF!,'[1]MAPA REV0'!#REF!,'[1]MAPA REV0'!#REF!,'[1]MAPA REV0'!#REF!,'[1]MAPA REV0'!#REF!,'[1]MAPA REV0'!#REF!,'[1]MAPA REV0'!#REF!,'[1]MAPA REV0'!#REF!,'[1]MAPA REV0'!#REF!,'[1]MAPA REV0'!#REF!,'[1]MAPA REV0'!#REF!</definedName>
    <definedName name="LISTA">'[2]MAPA REV0'!#REF!,'[2]MAPA REV0'!#REF!,'[2]MAPA REV0'!#REF!,'[2]MAPA REV0'!#REF!,'[2]MAPA REV0'!#REF!,'[2]MAPA REV0'!#REF!,'[2]MAPA REV0'!#REF!,'[2]MAPA REV0'!#REF!,'[2]MAPA REV0'!#REF!,'[2]MAPA REV0'!#REF!,'[2]MAPA REV0'!#REF!,'[2]MAPA REV0'!#REF!,'[2]MAPA REV0'!#REF!,'[2]MAPA REV0'!#REF!,'[2]MAPA REV0'!#REF!</definedName>
    <definedName name="NOVAPROP" localSheetId="4">'[1]MAPA REV0'!#REF!</definedName>
    <definedName name="NOVAPROP">'[2]MAPA REV0'!#REF!</definedName>
    <definedName name="Print_Area" localSheetId="3">MAT.!$A$1:$F$142</definedName>
    <definedName name="Print_Area" localSheetId="5">Sheet1!$A$1:$F$142</definedName>
    <definedName name="Print_Titles" localSheetId="3">MAT.!$14:$14</definedName>
    <definedName name="Print_Titles" localSheetId="5">Sheet1!$14:$14</definedName>
    <definedName name="_xlnm.Print_Titles" localSheetId="4">HISTOGRAMA!$1:$4</definedName>
    <definedName name="_xlnm.Print_Titles" localSheetId="3">MAT.!$1:$14</definedName>
    <definedName name="_xlnm.Print_Titles" localSheetId="5">Sheet1!$1:$14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4" l="1"/>
  <c r="F41" i="1"/>
  <c r="G68" i="8"/>
  <c r="O32" i="7"/>
  <c r="N32" i="7"/>
  <c r="O22" i="7"/>
  <c r="N22" i="7"/>
  <c r="G39" i="7"/>
  <c r="H39" i="7" s="1"/>
  <c r="G38" i="7"/>
  <c r="H38" i="7" s="1"/>
  <c r="G37" i="7"/>
  <c r="H37" i="7" s="1"/>
  <c r="O55" i="7"/>
  <c r="N55" i="7"/>
  <c r="O46" i="7"/>
  <c r="N46" i="7"/>
  <c r="F21" i="8"/>
  <c r="G21" i="8" s="1"/>
  <c r="F20" i="8"/>
  <c r="G20" i="8" s="1"/>
  <c r="D72" i="8"/>
  <c r="F59" i="8"/>
  <c r="G59" i="8" s="1"/>
  <c r="F58" i="8"/>
  <c r="G58" i="8" s="1"/>
  <c r="F57" i="8"/>
  <c r="G57" i="8" s="1"/>
  <c r="F56" i="8"/>
  <c r="D63" i="8"/>
  <c r="G63" i="8" s="1"/>
  <c r="G62" i="8" s="1"/>
  <c r="D66" i="8"/>
  <c r="P66" i="8" s="1"/>
  <c r="D67" i="8"/>
  <c r="L69" i="8"/>
  <c r="K69" i="8"/>
  <c r="J69" i="8"/>
  <c r="D70" i="8"/>
  <c r="G70" i="8" s="1"/>
  <c r="J158" i="9"/>
  <c r="J157" i="9"/>
  <c r="J156" i="9"/>
  <c r="J155" i="9"/>
  <c r="J154" i="9"/>
  <c r="J153" i="9"/>
  <c r="J152" i="9"/>
  <c r="J159" i="9" s="1"/>
  <c r="I109" i="9"/>
  <c r="L109" i="9" s="1"/>
  <c r="M109" i="9" s="1"/>
  <c r="E109" i="9" s="1"/>
  <c r="F109" i="9" s="1"/>
  <c r="H109" i="9"/>
  <c r="I108" i="9"/>
  <c r="L108" i="9" s="1"/>
  <c r="M108" i="9" s="1"/>
  <c r="E108" i="9" s="1"/>
  <c r="F108" i="9" s="1"/>
  <c r="F110" i="9" s="1"/>
  <c r="H108" i="9"/>
  <c r="M105" i="9"/>
  <c r="L105" i="9"/>
  <c r="M104" i="9"/>
  <c r="L104" i="9"/>
  <c r="H104" i="9"/>
  <c r="F100" i="9"/>
  <c r="L99" i="9"/>
  <c r="M99" i="9" s="1"/>
  <c r="E99" i="9" s="1"/>
  <c r="F99" i="9" s="1"/>
  <c r="H99" i="9"/>
  <c r="J98" i="9"/>
  <c r="N97" i="9"/>
  <c r="I97" i="9"/>
  <c r="H97" i="9" s="1"/>
  <c r="N96" i="9"/>
  <c r="I96" i="9"/>
  <c r="H96" i="9" s="1"/>
  <c r="L95" i="9"/>
  <c r="M95" i="9" s="1"/>
  <c r="E95" i="9" s="1"/>
  <c r="F95" i="9" s="1"/>
  <c r="H95" i="9"/>
  <c r="G95" i="9"/>
  <c r="D95" i="9"/>
  <c r="I91" i="9"/>
  <c r="I90" i="9"/>
  <c r="H90" i="9" s="1"/>
  <c r="I89" i="9"/>
  <c r="H89" i="9" s="1"/>
  <c r="I88" i="9"/>
  <c r="I87" i="9"/>
  <c r="L86" i="9"/>
  <c r="M86" i="9" s="1"/>
  <c r="E86" i="9" s="1"/>
  <c r="K86" i="9"/>
  <c r="J86" i="9"/>
  <c r="I86" i="9"/>
  <c r="H86" i="9" s="1"/>
  <c r="F86" i="9"/>
  <c r="G86" i="9" s="1"/>
  <c r="D86" i="9"/>
  <c r="I85" i="9"/>
  <c r="I84" i="9"/>
  <c r="H84" i="9"/>
  <c r="I83" i="9"/>
  <c r="I82" i="9"/>
  <c r="I81" i="9"/>
  <c r="H81" i="9" s="1"/>
  <c r="I80" i="9"/>
  <c r="I79" i="9"/>
  <c r="I78" i="9"/>
  <c r="H78" i="9"/>
  <c r="I77" i="9"/>
  <c r="I76" i="9"/>
  <c r="I75" i="9"/>
  <c r="H75" i="9"/>
  <c r="I74" i="9"/>
  <c r="I73" i="9"/>
  <c r="I72" i="9"/>
  <c r="H72" i="9"/>
  <c r="I71" i="9"/>
  <c r="I70" i="9"/>
  <c r="I69" i="9"/>
  <c r="H69" i="9"/>
  <c r="I68" i="9"/>
  <c r="I67" i="9"/>
  <c r="H66" i="9"/>
  <c r="I65" i="9"/>
  <c r="H65" i="9"/>
  <c r="I64" i="9"/>
  <c r="H64" i="9"/>
  <c r="I63" i="9"/>
  <c r="H63" i="9"/>
  <c r="I62" i="9"/>
  <c r="H62" i="9"/>
  <c r="I61" i="9"/>
  <c r="H61" i="9"/>
  <c r="I60" i="9"/>
  <c r="H60" i="9"/>
  <c r="H59" i="9"/>
  <c r="H58" i="9"/>
  <c r="H57" i="9"/>
  <c r="H56" i="9"/>
  <c r="H55" i="9"/>
  <c r="H54" i="9"/>
  <c r="H53" i="9"/>
  <c r="H52" i="9"/>
  <c r="K51" i="9"/>
  <c r="K52" i="9" s="1"/>
  <c r="H51" i="9"/>
  <c r="K50" i="9"/>
  <c r="L50" i="9" s="1"/>
  <c r="M50" i="9" s="1"/>
  <c r="E50" i="9" s="1"/>
  <c r="F50" i="9" s="1"/>
  <c r="G50" i="9" s="1"/>
  <c r="H50" i="9"/>
  <c r="V49" i="9"/>
  <c r="M49" i="9"/>
  <c r="E49" i="9" s="1"/>
  <c r="L49" i="9"/>
  <c r="F49" i="9"/>
  <c r="V48" i="9"/>
  <c r="S48" i="9"/>
  <c r="V47" i="9"/>
  <c r="S47" i="9"/>
  <c r="P47" i="9"/>
  <c r="V46" i="9"/>
  <c r="S46" i="9"/>
  <c r="P46" i="9"/>
  <c r="S45" i="9"/>
  <c r="P45" i="9"/>
  <c r="L45" i="9"/>
  <c r="M45" i="9" s="1"/>
  <c r="E45" i="9" s="1"/>
  <c r="F45" i="9" s="1"/>
  <c r="G45" i="9" s="1"/>
  <c r="H45" i="9"/>
  <c r="P44" i="9"/>
  <c r="J44" i="9"/>
  <c r="P43" i="9"/>
  <c r="J43" i="9"/>
  <c r="J42" i="9"/>
  <c r="J41" i="9"/>
  <c r="I41" i="9"/>
  <c r="I98" i="9" s="1"/>
  <c r="H41" i="9"/>
  <c r="R40" i="9"/>
  <c r="T40" i="9" s="1"/>
  <c r="H40" i="9"/>
  <c r="R39" i="9"/>
  <c r="Q39" i="9"/>
  <c r="T39" i="9" s="1"/>
  <c r="H39" i="9"/>
  <c r="R38" i="9"/>
  <c r="Q38" i="9"/>
  <c r="T38" i="9" s="1"/>
  <c r="H38" i="9"/>
  <c r="R37" i="9"/>
  <c r="Q37" i="9"/>
  <c r="T37" i="9" s="1"/>
  <c r="H37" i="9"/>
  <c r="P35" i="9"/>
  <c r="S34" i="9"/>
  <c r="T34" i="9" s="1"/>
  <c r="R34" i="9"/>
  <c r="T33" i="9"/>
  <c r="S33" i="9"/>
  <c r="R33" i="9"/>
  <c r="I33" i="9"/>
  <c r="H33" i="9"/>
  <c r="S32" i="9"/>
  <c r="T32" i="9" s="1"/>
  <c r="R32" i="9"/>
  <c r="I32" i="9"/>
  <c r="H32" i="9"/>
  <c r="S31" i="9"/>
  <c r="R31" i="9"/>
  <c r="K31" i="9"/>
  <c r="J31" i="9"/>
  <c r="I31" i="9"/>
  <c r="L31" i="9" s="1"/>
  <c r="M31" i="9" s="1"/>
  <c r="D31" i="9"/>
  <c r="H31" i="9" s="1"/>
  <c r="T30" i="9"/>
  <c r="S30" i="9"/>
  <c r="R30" i="9"/>
  <c r="I30" i="9"/>
  <c r="T29" i="9"/>
  <c r="S29" i="9"/>
  <c r="R29" i="9"/>
  <c r="I29" i="9"/>
  <c r="H29" i="9"/>
  <c r="T28" i="9"/>
  <c r="K28" i="9"/>
  <c r="I28" i="9"/>
  <c r="D28" i="9"/>
  <c r="D27" i="9"/>
  <c r="H27" i="9" s="1"/>
  <c r="R24" i="9"/>
  <c r="R35" i="9" s="1"/>
  <c r="Q24" i="9"/>
  <c r="Q35" i="9" s="1"/>
  <c r="T35" i="9" s="1"/>
  <c r="P24" i="9"/>
  <c r="T24" i="9" s="1"/>
  <c r="P21" i="9"/>
  <c r="T21" i="9" s="1"/>
  <c r="H21" i="9"/>
  <c r="T20" i="9"/>
  <c r="R20" i="9"/>
  <c r="Q20" i="9"/>
  <c r="P20" i="9"/>
  <c r="H20" i="9"/>
  <c r="D20" i="9"/>
  <c r="R19" i="9"/>
  <c r="T19" i="9" s="1"/>
  <c r="Q19" i="9"/>
  <c r="P19" i="9"/>
  <c r="H19" i="9"/>
  <c r="R18" i="9"/>
  <c r="Q18" i="9"/>
  <c r="P18" i="9"/>
  <c r="T18" i="9" s="1"/>
  <c r="H18" i="9"/>
  <c r="D18" i="9"/>
  <c r="D22" i="9" s="1"/>
  <c r="H22" i="9" s="1"/>
  <c r="R17" i="9"/>
  <c r="Q17" i="9"/>
  <c r="P17" i="9"/>
  <c r="T17" i="9" s="1"/>
  <c r="H17" i="9"/>
  <c r="K11" i="9"/>
  <c r="M11" i="9" s="1"/>
  <c r="G10" i="9"/>
  <c r="D26" i="9" s="1"/>
  <c r="H26" i="9" s="1"/>
  <c r="G41" i="8"/>
  <c r="F25" i="8"/>
  <c r="G25" i="8" s="1"/>
  <c r="F24" i="8"/>
  <c r="O24" i="8" s="1"/>
  <c r="F23" i="8"/>
  <c r="O23" i="8" s="1"/>
  <c r="F22" i="8"/>
  <c r="G22" i="8" s="1"/>
  <c r="M72" i="8"/>
  <c r="N72" i="8" s="1"/>
  <c r="M71" i="8"/>
  <c r="N71" i="8" s="1"/>
  <c r="L70" i="8"/>
  <c r="K70" i="8"/>
  <c r="J70" i="8"/>
  <c r="L67" i="8"/>
  <c r="K67" i="8"/>
  <c r="J67" i="8"/>
  <c r="L66" i="8"/>
  <c r="K66" i="8"/>
  <c r="J66" i="8"/>
  <c r="M65" i="8"/>
  <c r="N65" i="8" s="1"/>
  <c r="M64" i="8"/>
  <c r="N64" i="8" s="1"/>
  <c r="L63" i="8"/>
  <c r="K63" i="8"/>
  <c r="M62" i="8"/>
  <c r="N62" i="8" s="1"/>
  <c r="M61" i="8"/>
  <c r="N61" i="8" s="1"/>
  <c r="G61" i="8"/>
  <c r="M60" i="8"/>
  <c r="N60" i="8" s="1"/>
  <c r="G60" i="8"/>
  <c r="M59" i="8"/>
  <c r="N59" i="8" s="1"/>
  <c r="L56" i="8"/>
  <c r="L57" i="8" s="1"/>
  <c r="L58" i="8" s="1"/>
  <c r="K56" i="8"/>
  <c r="K57" i="8" s="1"/>
  <c r="K58" i="8" s="1"/>
  <c r="G56" i="8"/>
  <c r="L55" i="8"/>
  <c r="K55" i="8"/>
  <c r="J55" i="8"/>
  <c r="M55" i="8" s="1"/>
  <c r="N55" i="8" s="1"/>
  <c r="L54" i="8"/>
  <c r="K54" i="8"/>
  <c r="J54" i="8"/>
  <c r="M53" i="8"/>
  <c r="N53" i="8" s="1"/>
  <c r="M52" i="8"/>
  <c r="N52" i="8" s="1"/>
  <c r="L50" i="8"/>
  <c r="K50" i="8"/>
  <c r="J50" i="8"/>
  <c r="F50" i="8" s="1"/>
  <c r="G50" i="8" s="1"/>
  <c r="M49" i="8"/>
  <c r="N49" i="8" s="1"/>
  <c r="M48" i="8"/>
  <c r="N48" i="8" s="1"/>
  <c r="F48" i="8"/>
  <c r="G48" i="8" s="1"/>
  <c r="M47" i="8"/>
  <c r="N47" i="8" s="1"/>
  <c r="F47" i="8"/>
  <c r="G47" i="8" s="1"/>
  <c r="M46" i="8"/>
  <c r="N46" i="8" s="1"/>
  <c r="F46" i="8"/>
  <c r="G46" i="8" s="1"/>
  <c r="M45" i="8"/>
  <c r="N45" i="8" s="1"/>
  <c r="F45" i="8"/>
  <c r="G45" i="8" s="1"/>
  <c r="M44" i="8"/>
  <c r="N44" i="8" s="1"/>
  <c r="F44" i="8"/>
  <c r="G44" i="8" s="1"/>
  <c r="M43" i="8"/>
  <c r="N43" i="8" s="1"/>
  <c r="F43" i="8"/>
  <c r="G43" i="8" s="1"/>
  <c r="M42" i="8"/>
  <c r="N42" i="8" s="1"/>
  <c r="F42" i="8"/>
  <c r="G42" i="8" s="1"/>
  <c r="L41" i="8"/>
  <c r="K41" i="8"/>
  <c r="J41" i="8"/>
  <c r="L39" i="8"/>
  <c r="K39" i="8"/>
  <c r="J39" i="8"/>
  <c r="F39" i="8" s="1"/>
  <c r="G39" i="8" s="1"/>
  <c r="L38" i="8"/>
  <c r="K38" i="8"/>
  <c r="J38" i="8"/>
  <c r="L37" i="8"/>
  <c r="K37" i="8"/>
  <c r="J37" i="8"/>
  <c r="L36" i="8"/>
  <c r="K36" i="8"/>
  <c r="J36" i="8"/>
  <c r="L35" i="8"/>
  <c r="K35" i="8"/>
  <c r="J35" i="8"/>
  <c r="L34" i="8"/>
  <c r="K34" i="8"/>
  <c r="J34" i="8"/>
  <c r="F34" i="8" s="1"/>
  <c r="G34" i="8" s="1"/>
  <c r="L33" i="8"/>
  <c r="K33" i="8"/>
  <c r="J33" i="8"/>
  <c r="L32" i="8"/>
  <c r="K32" i="8"/>
  <c r="J32" i="8"/>
  <c r="F32" i="8" s="1"/>
  <c r="G32" i="8" s="1"/>
  <c r="M31" i="8"/>
  <c r="N31" i="8" s="1"/>
  <c r="M30" i="8"/>
  <c r="N30" i="8" s="1"/>
  <c r="M29" i="8"/>
  <c r="N29" i="8" s="1"/>
  <c r="G29" i="8"/>
  <c r="M28" i="8"/>
  <c r="N28" i="8" s="1"/>
  <c r="F28" i="8"/>
  <c r="G28" i="8" s="1"/>
  <c r="G27" i="8"/>
  <c r="L26" i="8"/>
  <c r="L27" i="8" s="1"/>
  <c r="K26" i="8"/>
  <c r="K27" i="8" s="1"/>
  <c r="J26" i="8"/>
  <c r="J27" i="8" s="1"/>
  <c r="O26" i="8"/>
  <c r="I25" i="8"/>
  <c r="L22" i="8"/>
  <c r="L23" i="8" s="1"/>
  <c r="L24" i="8" s="1"/>
  <c r="L25" i="8" s="1"/>
  <c r="K22" i="8"/>
  <c r="K23" i="8" s="1"/>
  <c r="L21" i="8"/>
  <c r="K21" i="8"/>
  <c r="M21" i="8" s="1"/>
  <c r="N21" i="8" s="1"/>
  <c r="L20" i="8"/>
  <c r="K20" i="8"/>
  <c r="L19" i="8"/>
  <c r="K19" i="8"/>
  <c r="J19" i="8"/>
  <c r="F19" i="8" s="1"/>
  <c r="L18" i="8"/>
  <c r="K18" i="8"/>
  <c r="J18" i="8"/>
  <c r="F18" i="8" s="1"/>
  <c r="L17" i="8"/>
  <c r="K17" i="8"/>
  <c r="J17" i="8"/>
  <c r="F17" i="8" s="1"/>
  <c r="L16" i="8"/>
  <c r="K16" i="8"/>
  <c r="J16" i="8"/>
  <c r="M15" i="8"/>
  <c r="N15" i="8" s="1"/>
  <c r="M14" i="8"/>
  <c r="N14" i="8" s="1"/>
  <c r="L13" i="8"/>
  <c r="M13" i="8" s="1"/>
  <c r="N13" i="8" s="1"/>
  <c r="L12" i="8"/>
  <c r="M12" i="8" s="1"/>
  <c r="N12" i="8" s="1"/>
  <c r="G12" i="8"/>
  <c r="L11" i="8"/>
  <c r="M11" i="8" s="1"/>
  <c r="N11" i="8" s="1"/>
  <c r="M10" i="8"/>
  <c r="N10" i="8" s="1"/>
  <c r="L9" i="8"/>
  <c r="M9" i="8" s="1"/>
  <c r="N9" i="8" s="1"/>
  <c r="G9" i="8"/>
  <c r="F8" i="8"/>
  <c r="L8" i="8" s="1"/>
  <c r="M8" i="8" s="1"/>
  <c r="N8" i="8" s="1"/>
  <c r="F7" i="8"/>
  <c r="L7" i="8" s="1"/>
  <c r="M7" i="8" s="1"/>
  <c r="N7" i="8" s="1"/>
  <c r="K2" i="8"/>
  <c r="N2" i="8" s="1"/>
  <c r="O89" i="7"/>
  <c r="O76" i="7"/>
  <c r="N89" i="7"/>
  <c r="N76" i="7"/>
  <c r="O70" i="7"/>
  <c r="N70" i="7"/>
  <c r="O63" i="7"/>
  <c r="N63" i="7"/>
  <c r="O15" i="7"/>
  <c r="N15" i="7"/>
  <c r="O7" i="7"/>
  <c r="N7" i="7"/>
  <c r="M54" i="8" l="1"/>
  <c r="N54" i="8" s="1"/>
  <c r="M63" i="8"/>
  <c r="N63" i="8" s="1"/>
  <c r="G66" i="8"/>
  <c r="M33" i="8"/>
  <c r="N33" i="8" s="1"/>
  <c r="M37" i="8"/>
  <c r="N37" i="8" s="1"/>
  <c r="F54" i="8"/>
  <c r="G54" i="8" s="1"/>
  <c r="M66" i="8"/>
  <c r="N66" i="8" s="1"/>
  <c r="F37" i="8"/>
  <c r="G37" i="8" s="1"/>
  <c r="F16" i="8"/>
  <c r="G16" i="8" s="1"/>
  <c r="M38" i="8"/>
  <c r="N38" i="8" s="1"/>
  <c r="G17" i="8"/>
  <c r="M69" i="8"/>
  <c r="N69" i="8" s="1"/>
  <c r="M18" i="8"/>
  <c r="N18" i="8" s="1"/>
  <c r="F55" i="8"/>
  <c r="G55" i="8" s="1"/>
  <c r="G53" i="8" s="1"/>
  <c r="G52" i="8" s="1"/>
  <c r="D69" i="8"/>
  <c r="G69" i="8" s="1"/>
  <c r="G65" i="8" s="1"/>
  <c r="M19" i="8"/>
  <c r="N19" i="8" s="1"/>
  <c r="M56" i="8"/>
  <c r="N56" i="8" s="1"/>
  <c r="M36" i="8"/>
  <c r="N36" i="8" s="1"/>
  <c r="M32" i="8"/>
  <c r="N32" i="8" s="1"/>
  <c r="G67" i="8"/>
  <c r="M67" i="8"/>
  <c r="N67" i="8" s="1"/>
  <c r="M20" i="8"/>
  <c r="N20" i="8" s="1"/>
  <c r="M35" i="8"/>
  <c r="N35" i="8" s="1"/>
  <c r="M50" i="8"/>
  <c r="N50" i="8" s="1"/>
  <c r="M57" i="8"/>
  <c r="N57" i="8" s="1"/>
  <c r="M26" i="8"/>
  <c r="N26" i="8" s="1"/>
  <c r="F33" i="8"/>
  <c r="G33" i="8" s="1"/>
  <c r="M27" i="8"/>
  <c r="N27" i="8" s="1"/>
  <c r="M41" i="8"/>
  <c r="N41" i="8" s="1"/>
  <c r="M23" i="8"/>
  <c r="N23" i="8" s="1"/>
  <c r="K24" i="8"/>
  <c r="K25" i="8" s="1"/>
  <c r="M25" i="8" s="1"/>
  <c r="N25" i="8" s="1"/>
  <c r="M58" i="8"/>
  <c r="N58" i="8" s="1"/>
  <c r="G7" i="8"/>
  <c r="F35" i="8"/>
  <c r="G35" i="8" s="1"/>
  <c r="F36" i="8"/>
  <c r="G36" i="8" s="1"/>
  <c r="G19" i="8"/>
  <c r="M16" i="8"/>
  <c r="N16" i="8" s="1"/>
  <c r="M34" i="8"/>
  <c r="N34" i="8" s="1"/>
  <c r="M17" i="8"/>
  <c r="N17" i="8" s="1"/>
  <c r="G18" i="8"/>
  <c r="M22" i="8"/>
  <c r="N22" i="8" s="1"/>
  <c r="M39" i="8"/>
  <c r="N39" i="8" s="1"/>
  <c r="F38" i="8"/>
  <c r="G38" i="8" s="1"/>
  <c r="M70" i="8"/>
  <c r="N70" i="8" s="1"/>
  <c r="G72" i="8"/>
  <c r="G71" i="8" s="1"/>
  <c r="T36" i="9"/>
  <c r="K30" i="9" s="1"/>
  <c r="L30" i="9" s="1"/>
  <c r="M30" i="9" s="1"/>
  <c r="E30" i="9" s="1"/>
  <c r="K29" i="9"/>
  <c r="K38" i="9"/>
  <c r="K18" i="9"/>
  <c r="L18" i="9" s="1"/>
  <c r="M18" i="9" s="1"/>
  <c r="E18" i="9" s="1"/>
  <c r="F18" i="9" s="1"/>
  <c r="G18" i="9" s="1"/>
  <c r="K22" i="9"/>
  <c r="L22" i="9" s="1"/>
  <c r="M22" i="9" s="1"/>
  <c r="E22" i="9" s="1"/>
  <c r="F22" i="9" s="1"/>
  <c r="G22" i="9" s="1"/>
  <c r="K19" i="9"/>
  <c r="K39" i="9"/>
  <c r="K37" i="9"/>
  <c r="T25" i="9"/>
  <c r="K20" i="9" s="1"/>
  <c r="L20" i="9" s="1"/>
  <c r="M20" i="9" s="1"/>
  <c r="E20" i="9" s="1"/>
  <c r="L29" i="9"/>
  <c r="M29" i="9" s="1"/>
  <c r="E29" i="9" s="1"/>
  <c r="F29" i="9" s="1"/>
  <c r="G29" i="9" s="1"/>
  <c r="G49" i="9"/>
  <c r="H85" i="9"/>
  <c r="J28" i="9"/>
  <c r="K33" i="9"/>
  <c r="L33" i="9" s="1"/>
  <c r="M33" i="9" s="1"/>
  <c r="E33" i="9" s="1"/>
  <c r="F33" i="9" s="1"/>
  <c r="G33" i="9" s="1"/>
  <c r="K21" i="9"/>
  <c r="L21" i="9" s="1"/>
  <c r="M21" i="9" s="1"/>
  <c r="E21" i="9" s="1"/>
  <c r="F21" i="9" s="1"/>
  <c r="G21" i="9" s="1"/>
  <c r="K32" i="9"/>
  <c r="L32" i="9" s="1"/>
  <c r="M32" i="9" s="1"/>
  <c r="E32" i="9" s="1"/>
  <c r="F32" i="9" s="1"/>
  <c r="G32" i="9" s="1"/>
  <c r="K40" i="9"/>
  <c r="L52" i="9"/>
  <c r="M52" i="9" s="1"/>
  <c r="E52" i="9" s="1"/>
  <c r="F52" i="9" s="1"/>
  <c r="G52" i="9" s="1"/>
  <c r="K53" i="9"/>
  <c r="K17" i="9"/>
  <c r="L17" i="9" s="1"/>
  <c r="M17" i="9" s="1"/>
  <c r="E17" i="9" s="1"/>
  <c r="F17" i="9" s="1"/>
  <c r="L51" i="9"/>
  <c r="M51" i="9" s="1"/>
  <c r="E51" i="9" s="1"/>
  <c r="F51" i="9" s="1"/>
  <c r="G51" i="9" s="1"/>
  <c r="H67" i="9"/>
  <c r="T41" i="9"/>
  <c r="H74" i="9"/>
  <c r="H71" i="9"/>
  <c r="H82" i="9"/>
  <c r="V45" i="9"/>
  <c r="I43" i="9" s="1"/>
  <c r="I42" i="9"/>
  <c r="H68" i="9"/>
  <c r="H79" i="9"/>
  <c r="L28" i="9"/>
  <c r="M28" i="9" s="1"/>
  <c r="E28" i="9" s="1"/>
  <c r="F28" i="9" s="1"/>
  <c r="G28" i="9" s="1"/>
  <c r="H28" i="9"/>
  <c r="D30" i="9"/>
  <c r="H30" i="9" s="1"/>
  <c r="H76" i="9"/>
  <c r="N31" i="9"/>
  <c r="E31" i="9"/>
  <c r="F31" i="9" s="1"/>
  <c r="G31" i="9" s="1"/>
  <c r="H98" i="9"/>
  <c r="H73" i="9"/>
  <c r="H80" i="9"/>
  <c r="T31" i="9"/>
  <c r="H70" i="9"/>
  <c r="H77" i="9"/>
  <c r="H88" i="9"/>
  <c r="H87" i="9"/>
  <c r="H91" i="9"/>
  <c r="H83" i="9"/>
  <c r="G24" i="8"/>
  <c r="O25" i="8"/>
  <c r="G13" i="8"/>
  <c r="G8" i="8"/>
  <c r="G6" i="8" s="1"/>
  <c r="G23" i="8"/>
  <c r="G26" i="8"/>
  <c r="G11" i="8"/>
  <c r="P69" i="1"/>
  <c r="G95" i="7"/>
  <c r="H95" i="7" s="1"/>
  <c r="M24" i="8" l="1"/>
  <c r="N24" i="8" s="1"/>
  <c r="G15" i="8"/>
  <c r="G14" i="8" s="1"/>
  <c r="G10" i="8"/>
  <c r="G64" i="8"/>
  <c r="S44" i="9"/>
  <c r="V44" i="9" s="1"/>
  <c r="F20" i="9"/>
  <c r="G20" i="9" s="1"/>
  <c r="J40" i="9"/>
  <c r="L40" i="9" s="1"/>
  <c r="M40" i="9" s="1"/>
  <c r="E40" i="9" s="1"/>
  <c r="F40" i="9" s="1"/>
  <c r="G40" i="9" s="1"/>
  <c r="J37" i="9"/>
  <c r="L37" i="9" s="1"/>
  <c r="M37" i="9" s="1"/>
  <c r="E37" i="9" s="1"/>
  <c r="F37" i="9" s="1"/>
  <c r="J89" i="9"/>
  <c r="J96" i="9"/>
  <c r="J38" i="9"/>
  <c r="L38" i="9" s="1"/>
  <c r="M38" i="9" s="1"/>
  <c r="E38" i="9" s="1"/>
  <c r="F38" i="9" s="1"/>
  <c r="G38" i="9" s="1"/>
  <c r="J39" i="9"/>
  <c r="L39" i="9" s="1"/>
  <c r="M39" i="9" s="1"/>
  <c r="E39" i="9" s="1"/>
  <c r="F39" i="9" s="1"/>
  <c r="G39" i="9" s="1"/>
  <c r="K96" i="9"/>
  <c r="K26" i="9"/>
  <c r="L19" i="9"/>
  <c r="M19" i="9" s="1"/>
  <c r="E19" i="9" s="1"/>
  <c r="H42" i="9"/>
  <c r="H43" i="9"/>
  <c r="I44" i="9"/>
  <c r="G17" i="9"/>
  <c r="K54" i="9"/>
  <c r="L53" i="9"/>
  <c r="M53" i="9" s="1"/>
  <c r="E53" i="9" s="1"/>
  <c r="F53" i="9" s="1"/>
  <c r="F30" i="9"/>
  <c r="G30" i="9" s="1"/>
  <c r="F51" i="1"/>
  <c r="F50" i="1"/>
  <c r="F12" i="1"/>
  <c r="F13" i="1"/>
  <c r="F11" i="1"/>
  <c r="F55" i="1"/>
  <c r="F56" i="1"/>
  <c r="F57" i="1"/>
  <c r="F58" i="1"/>
  <c r="F59" i="1"/>
  <c r="F54" i="1"/>
  <c r="F33" i="1"/>
  <c r="F34" i="1"/>
  <c r="F35" i="1"/>
  <c r="F36" i="1"/>
  <c r="F37" i="1"/>
  <c r="F38" i="1"/>
  <c r="F39" i="1"/>
  <c r="F40" i="1"/>
  <c r="F42" i="1"/>
  <c r="F43" i="1"/>
  <c r="F44" i="1"/>
  <c r="F45" i="1"/>
  <c r="F46" i="1"/>
  <c r="F47" i="1"/>
  <c r="F48" i="1"/>
  <c r="F32" i="1"/>
  <c r="F17" i="1"/>
  <c r="F18" i="1"/>
  <c r="F19" i="1"/>
  <c r="F20" i="1"/>
  <c r="F21" i="1"/>
  <c r="F22" i="1"/>
  <c r="F23" i="1"/>
  <c r="F24" i="1"/>
  <c r="F26" i="1"/>
  <c r="F27" i="1"/>
  <c r="F16" i="1"/>
  <c r="K89" i="7"/>
  <c r="J89" i="7"/>
  <c r="P89" i="7"/>
  <c r="M89" i="7"/>
  <c r="L89" i="7"/>
  <c r="H99" i="7"/>
  <c r="G101" i="7"/>
  <c r="H101" i="7" s="1"/>
  <c r="G67" i="7"/>
  <c r="H67" i="7" s="1"/>
  <c r="H83" i="7"/>
  <c r="G82" i="7"/>
  <c r="H82" i="7" s="1"/>
  <c r="G98" i="7"/>
  <c r="H98" i="7" s="1"/>
  <c r="G28" i="7"/>
  <c r="H28" i="7" s="1"/>
  <c r="G40" i="7"/>
  <c r="H40" i="7" s="1"/>
  <c r="G100" i="7"/>
  <c r="H100" i="7" s="1"/>
  <c r="G97" i="7"/>
  <c r="H97" i="7" s="1"/>
  <c r="G96" i="7"/>
  <c r="H96" i="7" s="1"/>
  <c r="G94" i="7"/>
  <c r="H94" i="7" s="1"/>
  <c r="G93" i="7"/>
  <c r="H93" i="7" s="1"/>
  <c r="G92" i="7"/>
  <c r="H92" i="7" s="1"/>
  <c r="G91" i="7"/>
  <c r="H91" i="7" s="1"/>
  <c r="G90" i="7"/>
  <c r="H90" i="7" s="1"/>
  <c r="G88" i="7"/>
  <c r="H88" i="7" s="1"/>
  <c r="G87" i="7"/>
  <c r="H87" i="7" s="1"/>
  <c r="G86" i="7"/>
  <c r="H86" i="7" s="1"/>
  <c r="G85" i="7"/>
  <c r="H85" i="7" s="1"/>
  <c r="G84" i="7"/>
  <c r="H84" i="7" s="1"/>
  <c r="G81" i="7"/>
  <c r="H81" i="7" s="1"/>
  <c r="G80" i="7"/>
  <c r="H80" i="7" s="1"/>
  <c r="G79" i="7"/>
  <c r="H79" i="7" s="1"/>
  <c r="G78" i="7"/>
  <c r="H78" i="7" s="1"/>
  <c r="G77" i="7"/>
  <c r="H77" i="7" s="1"/>
  <c r="P76" i="7"/>
  <c r="M76" i="7"/>
  <c r="L76" i="7"/>
  <c r="K76" i="7"/>
  <c r="J76" i="7"/>
  <c r="G72" i="7"/>
  <c r="H72" i="7" s="1"/>
  <c r="G71" i="7"/>
  <c r="H71" i="7" s="1"/>
  <c r="P70" i="7"/>
  <c r="M70" i="7"/>
  <c r="L70" i="7"/>
  <c r="K70" i="7"/>
  <c r="J70" i="7"/>
  <c r="G68" i="7"/>
  <c r="H68" i="7" s="1"/>
  <c r="G66" i="7"/>
  <c r="H66" i="7" s="1"/>
  <c r="G65" i="7"/>
  <c r="H65" i="7" s="1"/>
  <c r="G64" i="7"/>
  <c r="H64" i="7" s="1"/>
  <c r="P63" i="7"/>
  <c r="M63" i="7"/>
  <c r="L63" i="7"/>
  <c r="K63" i="7"/>
  <c r="J63" i="7"/>
  <c r="G59" i="7"/>
  <c r="H59" i="7" s="1"/>
  <c r="G58" i="7"/>
  <c r="H58" i="7" s="1"/>
  <c r="G57" i="7"/>
  <c r="H57" i="7" s="1"/>
  <c r="G56" i="7"/>
  <c r="H56" i="7" s="1"/>
  <c r="P55" i="7"/>
  <c r="M55" i="7"/>
  <c r="L55" i="7"/>
  <c r="K55" i="7"/>
  <c r="J55" i="7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P46" i="7"/>
  <c r="M46" i="7"/>
  <c r="L46" i="7"/>
  <c r="K46" i="7"/>
  <c r="J46" i="7"/>
  <c r="G42" i="7"/>
  <c r="H42" i="7" s="1"/>
  <c r="G41" i="7"/>
  <c r="H41" i="7" s="1"/>
  <c r="G36" i="7"/>
  <c r="H36" i="7" s="1"/>
  <c r="G35" i="7"/>
  <c r="H35" i="7" s="1"/>
  <c r="G34" i="7"/>
  <c r="H34" i="7" s="1"/>
  <c r="G33" i="7"/>
  <c r="H33" i="7" s="1"/>
  <c r="P32" i="7"/>
  <c r="M32" i="7"/>
  <c r="L32" i="7"/>
  <c r="K32" i="7"/>
  <c r="J32" i="7"/>
  <c r="G30" i="7"/>
  <c r="H30" i="7" s="1"/>
  <c r="G29" i="7"/>
  <c r="H29" i="7" s="1"/>
  <c r="G27" i="7"/>
  <c r="H27" i="7" s="1"/>
  <c r="G26" i="7"/>
  <c r="H26" i="7" s="1"/>
  <c r="G25" i="7"/>
  <c r="H25" i="7" s="1"/>
  <c r="G24" i="7"/>
  <c r="H24" i="7" s="1"/>
  <c r="G23" i="7"/>
  <c r="H23" i="7" s="1"/>
  <c r="P22" i="7"/>
  <c r="M22" i="7"/>
  <c r="L22" i="7"/>
  <c r="K22" i="7"/>
  <c r="J22" i="7"/>
  <c r="G18" i="7"/>
  <c r="H18" i="7" s="1"/>
  <c r="G17" i="7"/>
  <c r="H17" i="7" s="1"/>
  <c r="G16" i="7"/>
  <c r="H16" i="7" s="1"/>
  <c r="P15" i="7"/>
  <c r="M15" i="7"/>
  <c r="L15" i="7"/>
  <c r="K15" i="7"/>
  <c r="J15" i="7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P7" i="7"/>
  <c r="M7" i="7"/>
  <c r="L7" i="7"/>
  <c r="K7" i="7"/>
  <c r="J7" i="7"/>
  <c r="S43" i="9" l="1"/>
  <c r="P42" i="9"/>
  <c r="F19" i="9"/>
  <c r="G53" i="9"/>
  <c r="K27" i="9"/>
  <c r="L27" i="9" s="1"/>
  <c r="M27" i="9" s="1"/>
  <c r="L26" i="9"/>
  <c r="M26" i="9" s="1"/>
  <c r="E26" i="9" s="1"/>
  <c r="F26" i="9" s="1"/>
  <c r="K55" i="9"/>
  <c r="L54" i="9"/>
  <c r="M54" i="9" s="1"/>
  <c r="E54" i="9" s="1"/>
  <c r="F54" i="9" s="1"/>
  <c r="G54" i="9" s="1"/>
  <c r="K97" i="9"/>
  <c r="K87" i="9"/>
  <c r="K88" i="9" s="1"/>
  <c r="K89" i="9" s="1"/>
  <c r="K90" i="9" s="1"/>
  <c r="K91" i="9" s="1"/>
  <c r="J97" i="9"/>
  <c r="L97" i="9" s="1"/>
  <c r="M97" i="9" s="1"/>
  <c r="E97" i="9" s="1"/>
  <c r="F97" i="9" s="1"/>
  <c r="G97" i="9" s="1"/>
  <c r="J87" i="9"/>
  <c r="L96" i="9"/>
  <c r="M96" i="9" s="1"/>
  <c r="E96" i="9" s="1"/>
  <c r="F96" i="9" s="1"/>
  <c r="J90" i="9"/>
  <c r="H44" i="9"/>
  <c r="G37" i="9"/>
  <c r="H116" i="9"/>
  <c r="P105" i="7"/>
  <c r="P107" i="7" s="1"/>
  <c r="P108" i="7" s="1"/>
  <c r="J105" i="7"/>
  <c r="J107" i="7" s="1"/>
  <c r="J108" i="7" s="1"/>
  <c r="K105" i="7"/>
  <c r="K107" i="7" s="1"/>
  <c r="K108" i="7" s="1"/>
  <c r="M105" i="7"/>
  <c r="M107" i="7" s="1"/>
  <c r="M108" i="7" s="1"/>
  <c r="L105" i="7"/>
  <c r="L107" i="7" s="1"/>
  <c r="L108" i="7" s="1"/>
  <c r="D113" i="9" l="1"/>
  <c r="H117" i="9"/>
  <c r="E113" i="9" s="1"/>
  <c r="F113" i="9" s="1"/>
  <c r="F114" i="9" s="1"/>
  <c r="L55" i="9"/>
  <c r="M55" i="9" s="1"/>
  <c r="E55" i="9" s="1"/>
  <c r="F55" i="9" s="1"/>
  <c r="G55" i="9" s="1"/>
  <c r="K56" i="9"/>
  <c r="G26" i="9"/>
  <c r="E27" i="9"/>
  <c r="F27" i="9" s="1"/>
  <c r="G27" i="9" s="1"/>
  <c r="N27" i="9"/>
  <c r="L89" i="9"/>
  <c r="M89" i="9" s="1"/>
  <c r="E89" i="9" s="1"/>
  <c r="F89" i="9" s="1"/>
  <c r="G89" i="9" s="1"/>
  <c r="J91" i="9"/>
  <c r="L91" i="9" s="1"/>
  <c r="M91" i="9" s="1"/>
  <c r="E91" i="9" s="1"/>
  <c r="F91" i="9" s="1"/>
  <c r="G91" i="9" s="1"/>
  <c r="L90" i="9"/>
  <c r="M90" i="9" s="1"/>
  <c r="E90" i="9" s="1"/>
  <c r="F90" i="9" s="1"/>
  <c r="G90" i="9" s="1"/>
  <c r="G19" i="9"/>
  <c r="F23" i="9"/>
  <c r="G96" i="9"/>
  <c r="K41" i="9"/>
  <c r="P51" i="9"/>
  <c r="J88" i="9"/>
  <c r="L88" i="9" s="1"/>
  <c r="M88" i="9" s="1"/>
  <c r="E88" i="9" s="1"/>
  <c r="F88" i="9" s="1"/>
  <c r="G88" i="9" s="1"/>
  <c r="L87" i="9"/>
  <c r="M87" i="9" s="1"/>
  <c r="E87" i="9" s="1"/>
  <c r="F87" i="9" s="1"/>
  <c r="G87" i="9" s="1"/>
  <c r="S52" i="9"/>
  <c r="K42" i="9"/>
  <c r="L42" i="9" s="1"/>
  <c r="M42" i="9" s="1"/>
  <c r="E42" i="9" s="1"/>
  <c r="F42" i="9" s="1"/>
  <c r="G42" i="9" s="1"/>
  <c r="V43" i="9"/>
  <c r="K43" i="9" s="1"/>
  <c r="Q107" i="7"/>
  <c r="R107" i="7" s="1"/>
  <c r="K98" i="9" l="1"/>
  <c r="L98" i="9" s="1"/>
  <c r="M98" i="9" s="1"/>
  <c r="E98" i="9" s="1"/>
  <c r="F98" i="9" s="1"/>
  <c r="L41" i="9"/>
  <c r="M41" i="9" s="1"/>
  <c r="E41" i="9" s="1"/>
  <c r="F41" i="9" s="1"/>
  <c r="F34" i="9"/>
  <c r="L56" i="9"/>
  <c r="M56" i="9" s="1"/>
  <c r="E56" i="9" s="1"/>
  <c r="F56" i="9" s="1"/>
  <c r="K57" i="9"/>
  <c r="K44" i="9"/>
  <c r="L44" i="9" s="1"/>
  <c r="M44" i="9" s="1"/>
  <c r="E44" i="9" s="1"/>
  <c r="F44" i="9" s="1"/>
  <c r="G44" i="9" s="1"/>
  <c r="L43" i="9"/>
  <c r="M43" i="9" s="1"/>
  <c r="E43" i="9" s="1"/>
  <c r="F43" i="9" s="1"/>
  <c r="G43" i="9" s="1"/>
  <c r="L66" i="1"/>
  <c r="L67" i="1"/>
  <c r="L68" i="1"/>
  <c r="K68" i="1"/>
  <c r="J68" i="1"/>
  <c r="L69" i="1"/>
  <c r="K69" i="1"/>
  <c r="J69" i="1"/>
  <c r="K66" i="1"/>
  <c r="J66" i="1"/>
  <c r="K67" i="1"/>
  <c r="J67" i="1"/>
  <c r="L70" i="1"/>
  <c r="K70" i="1"/>
  <c r="J70" i="1"/>
  <c r="L71" i="1"/>
  <c r="K71" i="1"/>
  <c r="J71" i="1"/>
  <c r="L57" i="9" l="1"/>
  <c r="M57" i="9" s="1"/>
  <c r="E57" i="9" s="1"/>
  <c r="F57" i="9" s="1"/>
  <c r="G57" i="9" s="1"/>
  <c r="K58" i="9"/>
  <c r="G56" i="9"/>
  <c r="G41" i="9"/>
  <c r="F46" i="9"/>
  <c r="G98" i="9"/>
  <c r="F101" i="9"/>
  <c r="L63" i="1"/>
  <c r="K63" i="1"/>
  <c r="J63" i="1"/>
  <c r="L55" i="1"/>
  <c r="K55" i="1"/>
  <c r="L54" i="1"/>
  <c r="K54" i="1"/>
  <c r="L50" i="1"/>
  <c r="K50" i="1"/>
  <c r="J50" i="1"/>
  <c r="L41" i="1"/>
  <c r="K41" i="1"/>
  <c r="L39" i="1"/>
  <c r="K39" i="1"/>
  <c r="J39" i="1"/>
  <c r="L38" i="1"/>
  <c r="K38" i="1"/>
  <c r="J38" i="1"/>
  <c r="L37" i="1"/>
  <c r="K37" i="1"/>
  <c r="J37" i="1"/>
  <c r="L36" i="1"/>
  <c r="K36" i="1"/>
  <c r="J36" i="1"/>
  <c r="L35" i="1"/>
  <c r="K35" i="1"/>
  <c r="J26" i="1"/>
  <c r="J27" i="1" s="1"/>
  <c r="L26" i="1"/>
  <c r="L27" i="1" s="1"/>
  <c r="K26" i="1"/>
  <c r="K27" i="1" s="1"/>
  <c r="L9" i="1"/>
  <c r="L11" i="1"/>
  <c r="L13" i="1"/>
  <c r="L12" i="1"/>
  <c r="K59" i="9" l="1"/>
  <c r="L58" i="9"/>
  <c r="M58" i="9" s="1"/>
  <c r="E58" i="9" s="1"/>
  <c r="F58" i="9" s="1"/>
  <c r="M50" i="1"/>
  <c r="F8" i="1"/>
  <c r="L8" i="1" s="1"/>
  <c r="F7" i="1"/>
  <c r="L7" i="1" s="1"/>
  <c r="I25" i="1"/>
  <c r="F25" i="1" s="1"/>
  <c r="O25" i="1"/>
  <c r="F73" i="1"/>
  <c r="F71" i="1"/>
  <c r="F70" i="1"/>
  <c r="F69" i="1"/>
  <c r="F68" i="1"/>
  <c r="F67" i="1"/>
  <c r="F66" i="1"/>
  <c r="F63" i="1"/>
  <c r="J51" i="1"/>
  <c r="J40" i="1"/>
  <c r="F28" i="1"/>
  <c r="O26" i="1"/>
  <c r="O24" i="1"/>
  <c r="O23" i="1"/>
  <c r="G58" i="9" l="1"/>
  <c r="L59" i="9"/>
  <c r="M59" i="9" s="1"/>
  <c r="E59" i="9" s="1"/>
  <c r="F59" i="9" s="1"/>
  <c r="G59" i="9" s="1"/>
  <c r="K60" i="9"/>
  <c r="L21" i="1"/>
  <c r="K21" i="1"/>
  <c r="M21" i="1" s="1"/>
  <c r="N21" i="1" s="1"/>
  <c r="J21" i="1"/>
  <c r="L20" i="1"/>
  <c r="K20" i="1"/>
  <c r="J20" i="1"/>
  <c r="M20" i="1" s="1"/>
  <c r="N20" i="1" s="1"/>
  <c r="L19" i="1"/>
  <c r="K19" i="1"/>
  <c r="L18" i="1"/>
  <c r="K18" i="1"/>
  <c r="L17" i="1"/>
  <c r="K17" i="1"/>
  <c r="L16" i="1"/>
  <c r="K16" i="1"/>
  <c r="J19" i="1"/>
  <c r="J18" i="1"/>
  <c r="J17" i="1"/>
  <c r="J16" i="1"/>
  <c r="L22" i="1"/>
  <c r="L23" i="1" s="1"/>
  <c r="L24" i="1" s="1"/>
  <c r="L25" i="1" s="1"/>
  <c r="K22" i="1"/>
  <c r="K23" i="1" s="1"/>
  <c r="K24" i="1" s="1"/>
  <c r="K25" i="1" s="1"/>
  <c r="J22" i="1"/>
  <c r="J23" i="1" s="1"/>
  <c r="J24" i="1" s="1"/>
  <c r="J25" i="1" s="1"/>
  <c r="M25" i="1" s="1"/>
  <c r="N25" i="1" s="1"/>
  <c r="G24" i="1"/>
  <c r="L34" i="1"/>
  <c r="K34" i="1"/>
  <c r="L33" i="1"/>
  <c r="K33" i="1"/>
  <c r="L32" i="1"/>
  <c r="K32" i="1"/>
  <c r="K2" i="1"/>
  <c r="N2" i="1" s="1"/>
  <c r="M53" i="1"/>
  <c r="N53" i="1" s="1"/>
  <c r="M52" i="1"/>
  <c r="N52" i="1" s="1"/>
  <c r="M51" i="1"/>
  <c r="N51" i="1" s="1"/>
  <c r="N50" i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0" i="1"/>
  <c r="N40" i="1" s="1"/>
  <c r="M39" i="1"/>
  <c r="N39" i="1" s="1"/>
  <c r="M38" i="1"/>
  <c r="N38" i="1" s="1"/>
  <c r="M37" i="1"/>
  <c r="N37" i="1" s="1"/>
  <c r="M36" i="1"/>
  <c r="N36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4" i="1"/>
  <c r="N24" i="1" s="1"/>
  <c r="M23" i="1"/>
  <c r="N23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K61" i="9" l="1"/>
  <c r="L60" i="9"/>
  <c r="M60" i="9" s="1"/>
  <c r="E60" i="9" s="1"/>
  <c r="F60" i="9" s="1"/>
  <c r="G60" i="9" s="1"/>
  <c r="M16" i="1"/>
  <c r="N16" i="1" s="1"/>
  <c r="M18" i="1"/>
  <c r="N18" i="1" s="1"/>
  <c r="M17" i="1"/>
  <c r="N17" i="1" s="1"/>
  <c r="M19" i="1"/>
  <c r="N19" i="1" s="1"/>
  <c r="M22" i="1"/>
  <c r="N22" i="1" s="1"/>
  <c r="K62" i="9" l="1"/>
  <c r="L61" i="9"/>
  <c r="M61" i="9" s="1"/>
  <c r="E61" i="9" s="1"/>
  <c r="F61" i="9" s="1"/>
  <c r="G61" i="9" s="1"/>
  <c r="J58" i="1"/>
  <c r="J57" i="1"/>
  <c r="N97" i="4"/>
  <c r="N96" i="4"/>
  <c r="J158" i="4"/>
  <c r="J157" i="4"/>
  <c r="J156" i="4"/>
  <c r="J155" i="4"/>
  <c r="J154" i="4"/>
  <c r="J153" i="4"/>
  <c r="J152" i="4"/>
  <c r="I109" i="4"/>
  <c r="I108" i="4"/>
  <c r="L108" i="4" s="1"/>
  <c r="M108" i="4" s="1"/>
  <c r="E108" i="4" s="1"/>
  <c r="F108" i="4" s="1"/>
  <c r="L105" i="4"/>
  <c r="M105" i="4" s="1"/>
  <c r="L104" i="4"/>
  <c r="M104" i="4" s="1"/>
  <c r="H104" i="4"/>
  <c r="F100" i="4"/>
  <c r="L99" i="4"/>
  <c r="M99" i="4" s="1"/>
  <c r="E99" i="4" s="1"/>
  <c r="F99" i="4" s="1"/>
  <c r="H99" i="4"/>
  <c r="I97" i="4"/>
  <c r="I96" i="4"/>
  <c r="J54" i="1" s="1"/>
  <c r="M54" i="1" s="1"/>
  <c r="N54" i="1" s="1"/>
  <c r="L95" i="4"/>
  <c r="M95" i="4" s="1"/>
  <c r="E95" i="4" s="1"/>
  <c r="H95" i="4"/>
  <c r="D95" i="4"/>
  <c r="I91" i="4"/>
  <c r="I90" i="4"/>
  <c r="I89" i="4"/>
  <c r="I88" i="4"/>
  <c r="I87" i="4"/>
  <c r="H87" i="4" s="1"/>
  <c r="K86" i="4"/>
  <c r="J86" i="4"/>
  <c r="I86" i="4"/>
  <c r="D86" i="4"/>
  <c r="H86" i="4" s="1"/>
  <c r="I85" i="4"/>
  <c r="I84" i="4"/>
  <c r="I83" i="4"/>
  <c r="H83" i="4" s="1"/>
  <c r="I82" i="4"/>
  <c r="H82" i="4" s="1"/>
  <c r="I81" i="4"/>
  <c r="I80" i="4"/>
  <c r="H80" i="4"/>
  <c r="I79" i="4"/>
  <c r="H79" i="4" s="1"/>
  <c r="I78" i="4"/>
  <c r="H78" i="4" s="1"/>
  <c r="I77" i="4"/>
  <c r="H77" i="4" s="1"/>
  <c r="I76" i="4"/>
  <c r="H76" i="4" s="1"/>
  <c r="I75" i="4"/>
  <c r="H75" i="4" s="1"/>
  <c r="I74" i="4"/>
  <c r="H74" i="4" s="1"/>
  <c r="I73" i="4"/>
  <c r="H73" i="4" s="1"/>
  <c r="I72" i="4"/>
  <c r="H72" i="4" s="1"/>
  <c r="I71" i="4"/>
  <c r="H71" i="4" s="1"/>
  <c r="I70" i="4"/>
  <c r="H70" i="4" s="1"/>
  <c r="I69" i="4"/>
  <c r="H69" i="4" s="1"/>
  <c r="I68" i="4"/>
  <c r="H68" i="4" s="1"/>
  <c r="I67" i="4"/>
  <c r="H67" i="4" s="1"/>
  <c r="H66" i="4"/>
  <c r="I65" i="4"/>
  <c r="H65" i="4" s="1"/>
  <c r="I64" i="4"/>
  <c r="H64" i="4" s="1"/>
  <c r="I63" i="4"/>
  <c r="H63" i="4" s="1"/>
  <c r="I62" i="4"/>
  <c r="H62" i="4" s="1"/>
  <c r="I61" i="4"/>
  <c r="H61" i="4" s="1"/>
  <c r="I60" i="4"/>
  <c r="H59" i="4"/>
  <c r="H58" i="4"/>
  <c r="H57" i="4"/>
  <c r="H56" i="4"/>
  <c r="H55" i="4"/>
  <c r="H54" i="4"/>
  <c r="H53" i="4"/>
  <c r="H52" i="4"/>
  <c r="H51" i="4"/>
  <c r="K50" i="4"/>
  <c r="K51" i="4" s="1"/>
  <c r="H50" i="4"/>
  <c r="V49" i="4"/>
  <c r="L49" i="4"/>
  <c r="M49" i="4" s="1"/>
  <c r="E49" i="4" s="1"/>
  <c r="F49" i="4" s="1"/>
  <c r="S48" i="4"/>
  <c r="V48" i="4" s="1"/>
  <c r="V47" i="4"/>
  <c r="S47" i="4"/>
  <c r="P47" i="4"/>
  <c r="V46" i="4"/>
  <c r="S46" i="4"/>
  <c r="P46" i="4"/>
  <c r="S45" i="4"/>
  <c r="V45" i="4" s="1"/>
  <c r="P45" i="4"/>
  <c r="L45" i="4"/>
  <c r="M45" i="4" s="1"/>
  <c r="E45" i="4" s="1"/>
  <c r="F45" i="4" s="1"/>
  <c r="H45" i="4"/>
  <c r="P44" i="4"/>
  <c r="P43" i="4"/>
  <c r="J43" i="4"/>
  <c r="J44" i="4" s="1"/>
  <c r="J42" i="4"/>
  <c r="J41" i="4"/>
  <c r="J98" i="4" s="1"/>
  <c r="K56" i="1" s="1"/>
  <c r="K57" i="1" s="1"/>
  <c r="R40" i="4"/>
  <c r="T40" i="4" s="1"/>
  <c r="H40" i="4"/>
  <c r="R39" i="4"/>
  <c r="Q39" i="4"/>
  <c r="H39" i="4"/>
  <c r="R38" i="4"/>
  <c r="Q38" i="4"/>
  <c r="H38" i="4"/>
  <c r="R37" i="4"/>
  <c r="Q37" i="4"/>
  <c r="T37" i="4" s="1"/>
  <c r="H37" i="4"/>
  <c r="P35" i="4"/>
  <c r="S34" i="4"/>
  <c r="R34" i="4"/>
  <c r="T34" i="4" s="1"/>
  <c r="S33" i="4"/>
  <c r="R33" i="4"/>
  <c r="I33" i="4"/>
  <c r="H33" i="4" s="1"/>
  <c r="S32" i="4"/>
  <c r="R32" i="4"/>
  <c r="T32" i="4" s="1"/>
  <c r="I32" i="4"/>
  <c r="H32" i="4" s="1"/>
  <c r="S31" i="4"/>
  <c r="R31" i="4"/>
  <c r="K31" i="4"/>
  <c r="J31" i="4"/>
  <c r="I31" i="4"/>
  <c r="D31" i="4"/>
  <c r="S30" i="4"/>
  <c r="R30" i="4"/>
  <c r="I30" i="4"/>
  <c r="S29" i="4"/>
  <c r="R29" i="4"/>
  <c r="I29" i="4"/>
  <c r="T28" i="4"/>
  <c r="K28" i="4"/>
  <c r="I28" i="4"/>
  <c r="D28" i="4"/>
  <c r="D27" i="4"/>
  <c r="H27" i="4" s="1"/>
  <c r="R24" i="4"/>
  <c r="R35" i="4" s="1"/>
  <c r="Q24" i="4"/>
  <c r="Q35" i="4" s="1"/>
  <c r="P24" i="4"/>
  <c r="P21" i="4"/>
  <c r="T21" i="4" s="1"/>
  <c r="H21" i="4"/>
  <c r="R20" i="4"/>
  <c r="Q20" i="4"/>
  <c r="P20" i="4"/>
  <c r="D20" i="4"/>
  <c r="H20" i="4" s="1"/>
  <c r="R19" i="4"/>
  <c r="Q19" i="4"/>
  <c r="P19" i="4"/>
  <c r="H19" i="4"/>
  <c r="R18" i="4"/>
  <c r="Q18" i="4"/>
  <c r="P18" i="4"/>
  <c r="D18" i="4"/>
  <c r="R17" i="4"/>
  <c r="Q17" i="4"/>
  <c r="P17" i="4"/>
  <c r="H17" i="4"/>
  <c r="K11" i="4"/>
  <c r="M11" i="4" s="1"/>
  <c r="G10" i="4"/>
  <c r="D30" i="4" s="1"/>
  <c r="K63" i="9" l="1"/>
  <c r="L62" i="9"/>
  <c r="M62" i="9" s="1"/>
  <c r="E62" i="9" s="1"/>
  <c r="F62" i="9" s="1"/>
  <c r="G62" i="9" s="1"/>
  <c r="H85" i="4"/>
  <c r="J41" i="1"/>
  <c r="M41" i="1" s="1"/>
  <c r="N41" i="1" s="1"/>
  <c r="H97" i="4"/>
  <c r="J55" i="1"/>
  <c r="M55" i="1" s="1"/>
  <c r="N55" i="1" s="1"/>
  <c r="H88" i="4"/>
  <c r="J35" i="1"/>
  <c r="M35" i="1" s="1"/>
  <c r="N35" i="1" s="1"/>
  <c r="H89" i="4"/>
  <c r="J34" i="1"/>
  <c r="M34" i="1" s="1"/>
  <c r="N34" i="1" s="1"/>
  <c r="H90" i="4"/>
  <c r="J33" i="1"/>
  <c r="M33" i="1" s="1"/>
  <c r="N33" i="1" s="1"/>
  <c r="H91" i="4"/>
  <c r="J32" i="1"/>
  <c r="M32" i="1" s="1"/>
  <c r="N32" i="1" s="1"/>
  <c r="T38" i="4"/>
  <c r="T18" i="4"/>
  <c r="K17" i="4" s="1"/>
  <c r="L17" i="4" s="1"/>
  <c r="M17" i="4" s="1"/>
  <c r="E17" i="4" s="1"/>
  <c r="F17" i="4" s="1"/>
  <c r="L31" i="4"/>
  <c r="M31" i="4" s="1"/>
  <c r="H28" i="4"/>
  <c r="T20" i="4"/>
  <c r="T17" i="4"/>
  <c r="K38" i="4" s="1"/>
  <c r="T31" i="4"/>
  <c r="T24" i="4"/>
  <c r="F95" i="4"/>
  <c r="L86" i="4"/>
  <c r="M86" i="4" s="1"/>
  <c r="E86" i="4" s="1"/>
  <c r="F86" i="4" s="1"/>
  <c r="T19" i="4"/>
  <c r="K21" i="4" s="1"/>
  <c r="L21" i="4" s="1"/>
  <c r="M21" i="4" s="1"/>
  <c r="E21" i="4" s="1"/>
  <c r="F21" i="4" s="1"/>
  <c r="T33" i="4"/>
  <c r="K58" i="1"/>
  <c r="H30" i="4"/>
  <c r="T39" i="4"/>
  <c r="T41" i="4" s="1"/>
  <c r="T29" i="4"/>
  <c r="I42" i="4"/>
  <c r="H42" i="4" s="1"/>
  <c r="J159" i="4"/>
  <c r="D26" i="4"/>
  <c r="H26" i="4" s="1"/>
  <c r="I43" i="4"/>
  <c r="I44" i="4" s="1"/>
  <c r="H31" i="4"/>
  <c r="H108" i="4"/>
  <c r="E31" i="4"/>
  <c r="F31" i="4" s="1"/>
  <c r="N31" i="4"/>
  <c r="L50" i="4"/>
  <c r="M50" i="4" s="1"/>
  <c r="E50" i="4" s="1"/>
  <c r="F50" i="4" s="1"/>
  <c r="T35" i="4"/>
  <c r="L109" i="4"/>
  <c r="M109" i="4" s="1"/>
  <c r="E109" i="4" s="1"/>
  <c r="F109" i="4" s="1"/>
  <c r="F110" i="4" s="1"/>
  <c r="H109" i="4"/>
  <c r="I41" i="4"/>
  <c r="D22" i="4"/>
  <c r="H22" i="4" s="1"/>
  <c r="H18" i="4"/>
  <c r="T25" i="4"/>
  <c r="K20" i="4" s="1"/>
  <c r="L20" i="4" s="1"/>
  <c r="M20" i="4" s="1"/>
  <c r="E20" i="4" s="1"/>
  <c r="H81" i="4"/>
  <c r="H96" i="4"/>
  <c r="T30" i="4"/>
  <c r="H60" i="4"/>
  <c r="K52" i="4"/>
  <c r="L51" i="4"/>
  <c r="M51" i="4" s="1"/>
  <c r="E51" i="4" s="1"/>
  <c r="F51" i="4" s="1"/>
  <c r="K33" i="4"/>
  <c r="L33" i="4" s="1"/>
  <c r="M33" i="4" s="1"/>
  <c r="E33" i="4" s="1"/>
  <c r="F33" i="4" s="1"/>
  <c r="K32" i="4"/>
  <c r="L32" i="4" s="1"/>
  <c r="M32" i="4" s="1"/>
  <c r="E32" i="4" s="1"/>
  <c r="F32" i="4" s="1"/>
  <c r="K19" i="4"/>
  <c r="K39" i="4"/>
  <c r="H29" i="4"/>
  <c r="H84" i="4"/>
  <c r="K64" i="9" l="1"/>
  <c r="L63" i="9"/>
  <c r="M63" i="9" s="1"/>
  <c r="E63" i="9" s="1"/>
  <c r="F63" i="9" s="1"/>
  <c r="G63" i="9" s="1"/>
  <c r="K37" i="4"/>
  <c r="J28" i="4"/>
  <c r="L28" i="4" s="1"/>
  <c r="M28" i="4" s="1"/>
  <c r="E28" i="4" s="1"/>
  <c r="F28" i="4" s="1"/>
  <c r="K18" i="4"/>
  <c r="L18" i="4" s="1"/>
  <c r="M18" i="4" s="1"/>
  <c r="E18" i="4" s="1"/>
  <c r="F18" i="4" s="1"/>
  <c r="L22" i="4"/>
  <c r="M22" i="4" s="1"/>
  <c r="E22" i="4" s="1"/>
  <c r="F22" i="4" s="1"/>
  <c r="H43" i="4"/>
  <c r="K40" i="4"/>
  <c r="F20" i="4"/>
  <c r="S44" i="4"/>
  <c r="V44" i="4" s="1"/>
  <c r="J89" i="4"/>
  <c r="J38" i="4"/>
  <c r="L38" i="4" s="1"/>
  <c r="M38" i="4" s="1"/>
  <c r="E38" i="4" s="1"/>
  <c r="F38" i="4" s="1"/>
  <c r="J96" i="4"/>
  <c r="J39" i="4"/>
  <c r="L39" i="4" s="1"/>
  <c r="M39" i="4" s="1"/>
  <c r="E39" i="4" s="1"/>
  <c r="F39" i="4" s="1"/>
  <c r="J40" i="4"/>
  <c r="L40" i="4" s="1"/>
  <c r="M40" i="4" s="1"/>
  <c r="E40" i="4" s="1"/>
  <c r="F40" i="4" s="1"/>
  <c r="J37" i="4"/>
  <c r="L37" i="4" s="1"/>
  <c r="M37" i="4" s="1"/>
  <c r="E37" i="4" s="1"/>
  <c r="F37" i="4" s="1"/>
  <c r="H41" i="4"/>
  <c r="I98" i="4"/>
  <c r="J56" i="1" s="1"/>
  <c r="L52" i="4"/>
  <c r="M52" i="4" s="1"/>
  <c r="E52" i="4" s="1"/>
  <c r="F52" i="4" s="1"/>
  <c r="K53" i="4"/>
  <c r="T36" i="4"/>
  <c r="K30" i="4" s="1"/>
  <c r="L30" i="4" s="1"/>
  <c r="M30" i="4" s="1"/>
  <c r="E30" i="4" s="1"/>
  <c r="F30" i="4" s="1"/>
  <c r="K29" i="4"/>
  <c r="L29" i="4" s="1"/>
  <c r="M29" i="4" s="1"/>
  <c r="E29" i="4" s="1"/>
  <c r="F29" i="4" s="1"/>
  <c r="K26" i="4"/>
  <c r="K96" i="4"/>
  <c r="L19" i="4"/>
  <c r="M19" i="4" s="1"/>
  <c r="E19" i="4" s="1"/>
  <c r="H44" i="4"/>
  <c r="K65" i="9" l="1"/>
  <c r="L64" i="9"/>
  <c r="M64" i="9" s="1"/>
  <c r="E64" i="9" s="1"/>
  <c r="F64" i="9" s="1"/>
  <c r="G64" i="9" s="1"/>
  <c r="J97" i="4"/>
  <c r="J87" i="4"/>
  <c r="L96" i="4"/>
  <c r="M96" i="4" s="1"/>
  <c r="E96" i="4" s="1"/>
  <c r="F96" i="4" s="1"/>
  <c r="K54" i="4"/>
  <c r="L53" i="4"/>
  <c r="M53" i="4" s="1"/>
  <c r="E53" i="4" s="1"/>
  <c r="F53" i="4" s="1"/>
  <c r="J90" i="4"/>
  <c r="H98" i="4"/>
  <c r="H116" i="4" s="1"/>
  <c r="P42" i="4"/>
  <c r="F19" i="4"/>
  <c r="S43" i="4"/>
  <c r="K87" i="4"/>
  <c r="K88" i="4" s="1"/>
  <c r="K89" i="4" s="1"/>
  <c r="K90" i="4" s="1"/>
  <c r="K91" i="4" s="1"/>
  <c r="K97" i="4"/>
  <c r="K27" i="4"/>
  <c r="L27" i="4" s="1"/>
  <c r="M27" i="4" s="1"/>
  <c r="L26" i="4"/>
  <c r="M26" i="4" s="1"/>
  <c r="E26" i="4" s="1"/>
  <c r="F26" i="4" s="1"/>
  <c r="K66" i="9" l="1"/>
  <c r="L65" i="9"/>
  <c r="M65" i="9" s="1"/>
  <c r="E65" i="9" s="1"/>
  <c r="F65" i="9" s="1"/>
  <c r="G65" i="9" s="1"/>
  <c r="E27" i="4"/>
  <c r="F27" i="4" s="1"/>
  <c r="N27" i="4"/>
  <c r="L89" i="4"/>
  <c r="M89" i="4" s="1"/>
  <c r="E89" i="4" s="1"/>
  <c r="F89" i="4" s="1"/>
  <c r="P51" i="4"/>
  <c r="K41" i="4"/>
  <c r="L54" i="4"/>
  <c r="M54" i="4" s="1"/>
  <c r="E54" i="4" s="1"/>
  <c r="F54" i="4" s="1"/>
  <c r="K55" i="4"/>
  <c r="K42" i="4"/>
  <c r="L42" i="4" s="1"/>
  <c r="M42" i="4" s="1"/>
  <c r="E42" i="4" s="1"/>
  <c r="F42" i="4" s="1"/>
  <c r="V43" i="4"/>
  <c r="K43" i="4" s="1"/>
  <c r="S52" i="4"/>
  <c r="J91" i="4"/>
  <c r="L91" i="4" s="1"/>
  <c r="M91" i="4" s="1"/>
  <c r="E91" i="4" s="1"/>
  <c r="F91" i="4" s="1"/>
  <c r="L90" i="4"/>
  <c r="M90" i="4" s="1"/>
  <c r="E90" i="4" s="1"/>
  <c r="F90" i="4" s="1"/>
  <c r="F23" i="4"/>
  <c r="D113" i="4"/>
  <c r="H117" i="4"/>
  <c r="E113" i="4" s="1"/>
  <c r="F113" i="4" s="1"/>
  <c r="F114" i="4" s="1"/>
  <c r="J88" i="4"/>
  <c r="L88" i="4" s="1"/>
  <c r="M88" i="4" s="1"/>
  <c r="E88" i="4" s="1"/>
  <c r="F88" i="4" s="1"/>
  <c r="L87" i="4"/>
  <c r="M87" i="4" s="1"/>
  <c r="E87" i="4" s="1"/>
  <c r="F87" i="4" s="1"/>
  <c r="L97" i="4"/>
  <c r="M97" i="4" s="1"/>
  <c r="E97" i="4" s="1"/>
  <c r="F97" i="4" s="1"/>
  <c r="F34" i="4"/>
  <c r="F4" i="3"/>
  <c r="H4" i="3" s="1"/>
  <c r="F54" i="3"/>
  <c r="H54" i="3" s="1"/>
  <c r="F53" i="3"/>
  <c r="H53" i="3" s="1"/>
  <c r="F52" i="3"/>
  <c r="H52" i="3" s="1"/>
  <c r="F51" i="3"/>
  <c r="H51" i="3" s="1"/>
  <c r="F56" i="3"/>
  <c r="H56" i="3" s="1"/>
  <c r="F55" i="3"/>
  <c r="H55" i="3" s="1"/>
  <c r="F47" i="3"/>
  <c r="H47" i="3" s="1"/>
  <c r="F46" i="3"/>
  <c r="H46" i="3" s="1"/>
  <c r="F45" i="3"/>
  <c r="H45" i="3" s="1"/>
  <c r="F42" i="3"/>
  <c r="H42" i="3" s="1"/>
  <c r="F43" i="3"/>
  <c r="H43" i="3" s="1"/>
  <c r="F44" i="3"/>
  <c r="H44" i="3" s="1"/>
  <c r="F41" i="3"/>
  <c r="H41" i="3" s="1"/>
  <c r="F40" i="3"/>
  <c r="H40" i="3" s="1"/>
  <c r="F39" i="3"/>
  <c r="H39" i="3" s="1"/>
  <c r="F38" i="3"/>
  <c r="H38" i="3" s="1"/>
  <c r="F37" i="3"/>
  <c r="H37" i="3" s="1"/>
  <c r="F33" i="3"/>
  <c r="H33" i="3" s="1"/>
  <c r="F32" i="3"/>
  <c r="H32" i="3" s="1"/>
  <c r="F31" i="3"/>
  <c r="H31" i="3" s="1"/>
  <c r="F30" i="3"/>
  <c r="H30" i="3" s="1"/>
  <c r="F29" i="3"/>
  <c r="H29" i="3" s="1"/>
  <c r="F20" i="3"/>
  <c r="H20" i="3" s="1"/>
  <c r="F19" i="3"/>
  <c r="H19" i="3" s="1"/>
  <c r="F18" i="3"/>
  <c r="H18" i="3" s="1"/>
  <c r="F17" i="3"/>
  <c r="H17" i="3" s="1"/>
  <c r="F9" i="3"/>
  <c r="H9" i="3" s="1"/>
  <c r="F8" i="3"/>
  <c r="H8" i="3" s="1"/>
  <c r="F7" i="3"/>
  <c r="H7" i="3" s="1"/>
  <c r="K67" i="9" l="1"/>
  <c r="L66" i="9"/>
  <c r="M66" i="9" s="1"/>
  <c r="E66" i="9" s="1"/>
  <c r="F66" i="9" s="1"/>
  <c r="G66" i="9" s="1"/>
  <c r="L55" i="4"/>
  <c r="M55" i="4" s="1"/>
  <c r="E55" i="4" s="1"/>
  <c r="F55" i="4" s="1"/>
  <c r="K56" i="4"/>
  <c r="K44" i="4"/>
  <c r="L44" i="4" s="1"/>
  <c r="M44" i="4" s="1"/>
  <c r="E44" i="4" s="1"/>
  <c r="F44" i="4" s="1"/>
  <c r="L43" i="4"/>
  <c r="M43" i="4" s="1"/>
  <c r="E43" i="4" s="1"/>
  <c r="F43" i="4" s="1"/>
  <c r="K98" i="4"/>
  <c r="L41" i="4"/>
  <c r="M41" i="4" s="1"/>
  <c r="E41" i="4" s="1"/>
  <c r="F41" i="4" s="1"/>
  <c r="G50" i="1"/>
  <c r="G51" i="1"/>
  <c r="K68" i="9" l="1"/>
  <c r="L67" i="9"/>
  <c r="M67" i="9" s="1"/>
  <c r="E67" i="9" s="1"/>
  <c r="F67" i="9" s="1"/>
  <c r="G67" i="9" s="1"/>
  <c r="L98" i="4"/>
  <c r="M98" i="4" s="1"/>
  <c r="E98" i="4" s="1"/>
  <c r="F98" i="4" s="1"/>
  <c r="F101" i="4" s="1"/>
  <c r="L56" i="1"/>
  <c r="M56" i="1" s="1"/>
  <c r="N56" i="1" s="1"/>
  <c r="F46" i="4"/>
  <c r="K57" i="4"/>
  <c r="L56" i="4"/>
  <c r="M56" i="4" s="1"/>
  <c r="E56" i="4" s="1"/>
  <c r="F56" i="4" s="1"/>
  <c r="G49" i="1"/>
  <c r="D19" i="6" s="1"/>
  <c r="G19" i="6" s="1"/>
  <c r="G55" i="1"/>
  <c r="G61" i="1"/>
  <c r="G60" i="1"/>
  <c r="G59" i="1"/>
  <c r="G45" i="1"/>
  <c r="G39" i="1"/>
  <c r="G38" i="1"/>
  <c r="G37" i="1"/>
  <c r="G36" i="1"/>
  <c r="G35" i="1"/>
  <c r="G34" i="1"/>
  <c r="G33" i="1"/>
  <c r="G23" i="1"/>
  <c r="G22" i="1"/>
  <c r="G9" i="1"/>
  <c r="G8" i="1"/>
  <c r="G7" i="1"/>
  <c r="G6" i="1" s="1"/>
  <c r="F34" i="3"/>
  <c r="H34" i="3" s="1"/>
  <c r="F70" i="3"/>
  <c r="F69" i="3"/>
  <c r="H69" i="3" s="1"/>
  <c r="K69" i="9" l="1"/>
  <c r="L68" i="9"/>
  <c r="M68" i="9" s="1"/>
  <c r="E68" i="9" s="1"/>
  <c r="F68" i="9" s="1"/>
  <c r="G68" i="9" s="1"/>
  <c r="H19" i="6"/>
  <c r="D7" i="6"/>
  <c r="E7" i="6" s="1"/>
  <c r="L57" i="1"/>
  <c r="G56" i="1"/>
  <c r="L57" i="4"/>
  <c r="M57" i="4" s="1"/>
  <c r="E57" i="4" s="1"/>
  <c r="F57" i="4" s="1"/>
  <c r="K58" i="4"/>
  <c r="F68" i="3"/>
  <c r="H68" i="3" s="1"/>
  <c r="F67" i="3"/>
  <c r="H67" i="3" s="1"/>
  <c r="F66" i="3"/>
  <c r="H66" i="3" s="1"/>
  <c r="F65" i="3"/>
  <c r="H65" i="3" s="1"/>
  <c r="F64" i="3"/>
  <c r="H64" i="3" s="1"/>
  <c r="F63" i="3"/>
  <c r="H63" i="3" s="1"/>
  <c r="F62" i="3"/>
  <c r="H62" i="3" s="1"/>
  <c r="F61" i="3"/>
  <c r="H61" i="3" s="1"/>
  <c r="F60" i="3"/>
  <c r="F59" i="3"/>
  <c r="H59" i="3" s="1"/>
  <c r="F58" i="3"/>
  <c r="F57" i="3"/>
  <c r="F50" i="3"/>
  <c r="H50" i="3" s="1"/>
  <c r="F49" i="3"/>
  <c r="H49" i="3" s="1"/>
  <c r="F48" i="3"/>
  <c r="F36" i="3"/>
  <c r="H36" i="3" s="1"/>
  <c r="F35" i="3"/>
  <c r="H35" i="3" s="1"/>
  <c r="F28" i="3"/>
  <c r="H28" i="3" s="1"/>
  <c r="F27" i="3"/>
  <c r="H27" i="3" s="1"/>
  <c r="F26" i="3"/>
  <c r="F25" i="3"/>
  <c r="H25" i="3" s="1"/>
  <c r="F24" i="3"/>
  <c r="H24" i="3" s="1"/>
  <c r="F23" i="3"/>
  <c r="H23" i="3" s="1"/>
  <c r="F22" i="3"/>
  <c r="H22" i="3" s="1"/>
  <c r="F21" i="3"/>
  <c r="H21" i="3" s="1"/>
  <c r="F16" i="3"/>
  <c r="H16" i="3" s="1"/>
  <c r="F15" i="3"/>
  <c r="H15" i="3" s="1"/>
  <c r="F14" i="3"/>
  <c r="H14" i="3" s="1"/>
  <c r="F13" i="3"/>
  <c r="H13" i="3" s="1"/>
  <c r="F12" i="3"/>
  <c r="H12" i="3" s="1"/>
  <c r="F11" i="3"/>
  <c r="H11" i="3" s="1"/>
  <c r="F10" i="3"/>
  <c r="F5" i="3"/>
  <c r="H5" i="3" s="1"/>
  <c r="F3" i="3"/>
  <c r="H3" i="3" s="1"/>
  <c r="K70" i="9" l="1"/>
  <c r="L69" i="9"/>
  <c r="M69" i="9" s="1"/>
  <c r="E69" i="9" s="1"/>
  <c r="F69" i="9" s="1"/>
  <c r="G69" i="9" s="1"/>
  <c r="I19" i="6"/>
  <c r="L7" i="6"/>
  <c r="L58" i="1"/>
  <c r="M58" i="1" s="1"/>
  <c r="N58" i="1" s="1"/>
  <c r="G58" i="1" s="1"/>
  <c r="M57" i="1"/>
  <c r="N57" i="1" s="1"/>
  <c r="G57" i="1" s="1"/>
  <c r="K59" i="4"/>
  <c r="L58" i="4"/>
  <c r="M58" i="4" s="1"/>
  <c r="E58" i="4" s="1"/>
  <c r="F58" i="4" s="1"/>
  <c r="H1" i="3"/>
  <c r="J1" i="3" s="1"/>
  <c r="K71" i="9" l="1"/>
  <c r="L70" i="9"/>
  <c r="M70" i="9" s="1"/>
  <c r="E70" i="9" s="1"/>
  <c r="F70" i="9" s="1"/>
  <c r="G70" i="9" s="1"/>
  <c r="L19" i="6"/>
  <c r="E9" i="6"/>
  <c r="L9" i="6" s="1"/>
  <c r="K60" i="4"/>
  <c r="L59" i="4"/>
  <c r="M59" i="4" s="1"/>
  <c r="E59" i="4" s="1"/>
  <c r="F59" i="4" s="1"/>
  <c r="F5" i="2"/>
  <c r="F4" i="2" s="1"/>
  <c r="K72" i="9" l="1"/>
  <c r="L71" i="9"/>
  <c r="M71" i="9" s="1"/>
  <c r="E71" i="9" s="1"/>
  <c r="F71" i="9" s="1"/>
  <c r="G71" i="9" s="1"/>
  <c r="H21" i="6"/>
  <c r="G21" i="6"/>
  <c r="I21" i="6"/>
  <c r="K61" i="4"/>
  <c r="L60" i="4"/>
  <c r="M60" i="4" s="1"/>
  <c r="E60" i="4" s="1"/>
  <c r="F60" i="4" s="1"/>
  <c r="F3" i="2"/>
  <c r="K73" i="9" l="1"/>
  <c r="L72" i="9"/>
  <c r="M72" i="9" s="1"/>
  <c r="E72" i="9" s="1"/>
  <c r="F72" i="9" s="1"/>
  <c r="G72" i="9" s="1"/>
  <c r="L21" i="6"/>
  <c r="K62" i="4"/>
  <c r="L61" i="4"/>
  <c r="M61" i="4" s="1"/>
  <c r="E61" i="4" s="1"/>
  <c r="F61" i="4" s="1"/>
  <c r="G47" i="1"/>
  <c r="G74" i="1"/>
  <c r="G73" i="1"/>
  <c r="G72" i="1" s="1"/>
  <c r="D31" i="6" s="1"/>
  <c r="J31" i="6" s="1"/>
  <c r="K31" i="6" s="1"/>
  <c r="G71" i="1"/>
  <c r="G70" i="1"/>
  <c r="G69" i="1"/>
  <c r="G68" i="1"/>
  <c r="G67" i="1"/>
  <c r="G66" i="1"/>
  <c r="G63" i="1"/>
  <c r="G62" i="1" s="1"/>
  <c r="D25" i="6" s="1"/>
  <c r="G25" i="6" s="1"/>
  <c r="G54" i="1"/>
  <c r="G53" i="1" s="1"/>
  <c r="G48" i="1"/>
  <c r="G44" i="1"/>
  <c r="G46" i="1"/>
  <c r="G43" i="1"/>
  <c r="G42" i="1"/>
  <c r="G41" i="1"/>
  <c r="G40" i="1"/>
  <c r="G32" i="1"/>
  <c r="G29" i="1"/>
  <c r="G28" i="1"/>
  <c r="G27" i="1"/>
  <c r="G26" i="1"/>
  <c r="G25" i="1"/>
  <c r="G21" i="1"/>
  <c r="G20" i="1"/>
  <c r="G19" i="1"/>
  <c r="G18" i="1"/>
  <c r="G17" i="1"/>
  <c r="G16" i="1"/>
  <c r="G13" i="1"/>
  <c r="G12" i="1"/>
  <c r="G11" i="1"/>
  <c r="K74" i="9" l="1"/>
  <c r="L73" i="9"/>
  <c r="M73" i="9" s="1"/>
  <c r="E73" i="9" s="1"/>
  <c r="F73" i="9" s="1"/>
  <c r="G73" i="9" s="1"/>
  <c r="L31" i="6"/>
  <c r="J33" i="6" s="1"/>
  <c r="K63" i="4"/>
  <c r="L62" i="4"/>
  <c r="M62" i="4" s="1"/>
  <c r="E62" i="4" s="1"/>
  <c r="F62" i="4" s="1"/>
  <c r="G31" i="1"/>
  <c r="G10" i="1"/>
  <c r="D10" i="6" s="1"/>
  <c r="G65" i="1"/>
  <c r="G15" i="1"/>
  <c r="G52" i="1"/>
  <c r="D22" i="6" s="1"/>
  <c r="G22" i="6" s="1"/>
  <c r="F22" i="6" s="1"/>
  <c r="K75" i="9" l="1"/>
  <c r="L74" i="9"/>
  <c r="M74" i="9" s="1"/>
  <c r="E74" i="9" s="1"/>
  <c r="F74" i="9" s="1"/>
  <c r="G74" i="9" s="1"/>
  <c r="G14" i="1"/>
  <c r="D13" i="6"/>
  <c r="G64" i="1"/>
  <c r="D28" i="6"/>
  <c r="K33" i="6"/>
  <c r="L33" i="6" s="1"/>
  <c r="H22" i="6"/>
  <c r="I22" i="6" s="1"/>
  <c r="G30" i="1"/>
  <c r="D16" i="6"/>
  <c r="G77" i="1"/>
  <c r="K64" i="4"/>
  <c r="L63" i="4"/>
  <c r="M63" i="4" s="1"/>
  <c r="E63" i="4" s="1"/>
  <c r="F63" i="4" s="1"/>
  <c r="I28" i="6" l="1"/>
  <c r="K28" i="6"/>
  <c r="H28" i="6"/>
  <c r="J28" i="6"/>
  <c r="H16" i="6"/>
  <c r="G16" i="6"/>
  <c r="I16" i="6"/>
  <c r="K76" i="9"/>
  <c r="L75" i="9"/>
  <c r="M75" i="9" s="1"/>
  <c r="E75" i="9" s="1"/>
  <c r="F75" i="9" s="1"/>
  <c r="G75" i="9" s="1"/>
  <c r="J34" i="6"/>
  <c r="E2" i="1"/>
  <c r="D34" i="6"/>
  <c r="L22" i="6"/>
  <c r="D75" i="1"/>
  <c r="K65" i="4"/>
  <c r="L64" i="4"/>
  <c r="M64" i="4" s="1"/>
  <c r="E64" i="4" s="1"/>
  <c r="F64" i="4" s="1"/>
  <c r="S107" i="7" l="1"/>
  <c r="I1" i="1"/>
  <c r="K77" i="9"/>
  <c r="L76" i="9"/>
  <c r="M76" i="9" s="1"/>
  <c r="E76" i="9" s="1"/>
  <c r="F76" i="9" s="1"/>
  <c r="G76" i="9" s="1"/>
  <c r="J36" i="6"/>
  <c r="F24" i="6"/>
  <c r="I24" i="6"/>
  <c r="G24" i="6"/>
  <c r="H24" i="6"/>
  <c r="D9" i="6"/>
  <c r="D33" i="6"/>
  <c r="D24" i="6"/>
  <c r="D15" i="6"/>
  <c r="D30" i="6"/>
  <c r="D21" i="6"/>
  <c r="D18" i="6"/>
  <c r="D27" i="6"/>
  <c r="D12" i="6"/>
  <c r="K34" i="6"/>
  <c r="K66" i="4"/>
  <c r="L65" i="4"/>
  <c r="M65" i="4" s="1"/>
  <c r="E65" i="4" s="1"/>
  <c r="F65" i="4" s="1"/>
  <c r="K78" i="9" l="1"/>
  <c r="L77" i="9"/>
  <c r="M77" i="9" s="1"/>
  <c r="E77" i="9" s="1"/>
  <c r="F77" i="9" s="1"/>
  <c r="G77" i="9" s="1"/>
  <c r="L24" i="6"/>
  <c r="K67" i="4"/>
  <c r="L66" i="4"/>
  <c r="M66" i="4" s="1"/>
  <c r="E66" i="4" s="1"/>
  <c r="F66" i="4" s="1"/>
  <c r="K79" i="9" l="1"/>
  <c r="L78" i="9"/>
  <c r="M78" i="9" s="1"/>
  <c r="E78" i="9" s="1"/>
  <c r="F78" i="9" s="1"/>
  <c r="G78" i="9" s="1"/>
  <c r="K68" i="4"/>
  <c r="L67" i="4"/>
  <c r="M67" i="4" s="1"/>
  <c r="E67" i="4" s="1"/>
  <c r="F67" i="4" s="1"/>
  <c r="K80" i="9" l="1"/>
  <c r="L79" i="9"/>
  <c r="M79" i="9" s="1"/>
  <c r="E79" i="9" s="1"/>
  <c r="F79" i="9" s="1"/>
  <c r="G79" i="9" s="1"/>
  <c r="L68" i="4"/>
  <c r="M68" i="4" s="1"/>
  <c r="E68" i="4" s="1"/>
  <c r="F68" i="4" s="1"/>
  <c r="K69" i="4"/>
  <c r="K81" i="9" l="1"/>
  <c r="L80" i="9"/>
  <c r="M80" i="9" s="1"/>
  <c r="E80" i="9" s="1"/>
  <c r="F80" i="9" s="1"/>
  <c r="G80" i="9" s="1"/>
  <c r="K70" i="4"/>
  <c r="L69" i="4"/>
  <c r="M69" i="4" s="1"/>
  <c r="E69" i="4" s="1"/>
  <c r="F69" i="4" s="1"/>
  <c r="K82" i="9" l="1"/>
  <c r="L81" i="9"/>
  <c r="M81" i="9" s="1"/>
  <c r="E81" i="9" s="1"/>
  <c r="F81" i="9" s="1"/>
  <c r="G81" i="9" s="1"/>
  <c r="K71" i="4"/>
  <c r="L70" i="4"/>
  <c r="M70" i="4" s="1"/>
  <c r="E70" i="4" s="1"/>
  <c r="F70" i="4" s="1"/>
  <c r="K83" i="9" l="1"/>
  <c r="L82" i="9"/>
  <c r="M82" i="9" s="1"/>
  <c r="E82" i="9" s="1"/>
  <c r="F82" i="9" s="1"/>
  <c r="G82" i="9" s="1"/>
  <c r="L71" i="4"/>
  <c r="M71" i="4" s="1"/>
  <c r="E71" i="4" s="1"/>
  <c r="F71" i="4" s="1"/>
  <c r="K72" i="4"/>
  <c r="K84" i="9" l="1"/>
  <c r="L83" i="9"/>
  <c r="M83" i="9" s="1"/>
  <c r="E83" i="9" s="1"/>
  <c r="F83" i="9" s="1"/>
  <c r="G83" i="9" s="1"/>
  <c r="K73" i="4"/>
  <c r="L72" i="4"/>
  <c r="M72" i="4" s="1"/>
  <c r="E72" i="4" s="1"/>
  <c r="F72" i="4" s="1"/>
  <c r="K85" i="9" l="1"/>
  <c r="L85" i="9" s="1"/>
  <c r="M85" i="9" s="1"/>
  <c r="E85" i="9" s="1"/>
  <c r="F85" i="9" s="1"/>
  <c r="L84" i="9"/>
  <c r="M84" i="9" s="1"/>
  <c r="E84" i="9" s="1"/>
  <c r="F84" i="9" s="1"/>
  <c r="G84" i="9" s="1"/>
  <c r="K74" i="4"/>
  <c r="L73" i="4"/>
  <c r="M73" i="4" s="1"/>
  <c r="E73" i="4" s="1"/>
  <c r="F73" i="4" s="1"/>
  <c r="G85" i="9" l="1"/>
  <c r="F92" i="9"/>
  <c r="G116" i="9" s="1"/>
  <c r="E104" i="9" s="1"/>
  <c r="F104" i="9" s="1"/>
  <c r="L74" i="4"/>
  <c r="M74" i="4" s="1"/>
  <c r="E74" i="4" s="1"/>
  <c r="F74" i="4" s="1"/>
  <c r="K75" i="4"/>
  <c r="F105" i="9" l="1"/>
  <c r="F116" i="9" s="1"/>
  <c r="K76" i="4"/>
  <c r="L75" i="4"/>
  <c r="M75" i="4" s="1"/>
  <c r="E75" i="4" s="1"/>
  <c r="F75" i="4" s="1"/>
  <c r="F143" i="9" l="1"/>
  <c r="F144" i="9" s="1"/>
  <c r="F145" i="9" s="1"/>
  <c r="N11" i="9"/>
  <c r="G104" i="9"/>
  <c r="K77" i="4"/>
  <c r="L76" i="4"/>
  <c r="M76" i="4" s="1"/>
  <c r="E76" i="4" s="1"/>
  <c r="F76" i="4" s="1"/>
  <c r="L77" i="4" l="1"/>
  <c r="M77" i="4" s="1"/>
  <c r="E77" i="4" s="1"/>
  <c r="F77" i="4" s="1"/>
  <c r="K78" i="4"/>
  <c r="K79" i="4" l="1"/>
  <c r="L78" i="4"/>
  <c r="M78" i="4" s="1"/>
  <c r="E78" i="4" s="1"/>
  <c r="F78" i="4" s="1"/>
  <c r="K80" i="4" l="1"/>
  <c r="L79" i="4"/>
  <c r="M79" i="4" s="1"/>
  <c r="E79" i="4" s="1"/>
  <c r="F79" i="4" s="1"/>
  <c r="L80" i="4" l="1"/>
  <c r="M80" i="4" s="1"/>
  <c r="E80" i="4" s="1"/>
  <c r="F80" i="4" s="1"/>
  <c r="K81" i="4"/>
  <c r="K82" i="4" l="1"/>
  <c r="L81" i="4"/>
  <c r="M81" i="4" s="1"/>
  <c r="E81" i="4" s="1"/>
  <c r="F81" i="4" s="1"/>
  <c r="K83" i="4" l="1"/>
  <c r="L82" i="4"/>
  <c r="M82" i="4" s="1"/>
  <c r="E82" i="4" s="1"/>
  <c r="F82" i="4" s="1"/>
  <c r="L83" i="4" l="1"/>
  <c r="M83" i="4" s="1"/>
  <c r="E83" i="4" s="1"/>
  <c r="F83" i="4" s="1"/>
  <c r="K84" i="4"/>
  <c r="K85" i="4" l="1"/>
  <c r="L85" i="4" s="1"/>
  <c r="M85" i="4" s="1"/>
  <c r="E85" i="4" s="1"/>
  <c r="F85" i="4" s="1"/>
  <c r="L84" i="4"/>
  <c r="M84" i="4" s="1"/>
  <c r="E84" i="4" s="1"/>
  <c r="F84" i="4" s="1"/>
  <c r="F92" i="4" l="1"/>
  <c r="G116" i="4" s="1"/>
  <c r="E104" i="4" s="1"/>
  <c r="F104" i="4" s="1"/>
  <c r="F105" i="4" l="1"/>
  <c r="F116" i="4" s="1"/>
  <c r="F143" i="4" l="1"/>
  <c r="F144" i="4" s="1"/>
  <c r="F145" i="4" s="1"/>
  <c r="G45" i="4"/>
  <c r="G95" i="4"/>
  <c r="G17" i="4"/>
  <c r="G49" i="4"/>
  <c r="N11" i="4"/>
  <c r="G21" i="4"/>
  <c r="G33" i="4"/>
  <c r="G50" i="4"/>
  <c r="G51" i="4"/>
  <c r="G32" i="4"/>
  <c r="G18" i="4"/>
  <c r="G31" i="4"/>
  <c r="G86" i="4"/>
  <c r="G28" i="4"/>
  <c r="G37" i="4"/>
  <c r="G29" i="4"/>
  <c r="G39" i="4"/>
  <c r="G40" i="4"/>
  <c r="G30" i="4"/>
  <c r="G52" i="4"/>
  <c r="G38" i="4"/>
  <c r="G22" i="4"/>
  <c r="G20" i="4"/>
  <c r="G53" i="4"/>
  <c r="G19" i="4"/>
  <c r="G96" i="4"/>
  <c r="G26" i="4"/>
  <c r="G88" i="4"/>
  <c r="G97" i="4"/>
  <c r="G87" i="4"/>
  <c r="G54" i="4"/>
  <c r="G89" i="4"/>
  <c r="G90" i="4"/>
  <c r="G42" i="4"/>
  <c r="G91" i="4"/>
  <c r="G27" i="4"/>
  <c r="G44" i="4"/>
  <c r="G41" i="4"/>
  <c r="G98" i="4"/>
  <c r="G43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104" i="4"/>
  <c r="K36" i="6"/>
  <c r="C31" i="6"/>
  <c r="C22" i="6"/>
  <c r="C19" i="6"/>
  <c r="C25" i="6"/>
  <c r="C16" i="6"/>
  <c r="C10" i="6"/>
  <c r="C7" i="6"/>
  <c r="C13" i="6"/>
  <c r="C28" i="6"/>
  <c r="C34" i="6" l="1"/>
  <c r="G40" i="8" l="1"/>
  <c r="G31" i="8" s="1"/>
  <c r="J40" i="8"/>
  <c r="M40" i="8" s="1"/>
  <c r="N40" i="8" s="1"/>
  <c r="G51" i="8"/>
  <c r="G49" i="8" s="1"/>
  <c r="G75" i="8" s="1"/>
  <c r="M51" i="8"/>
  <c r="N51" i="8" s="1"/>
  <c r="G30" i="8" l="1"/>
  <c r="D73" i="8" l="1"/>
  <c r="E2" i="8"/>
  <c r="L28" i="6"/>
  <c r="L30" i="6" l="1"/>
  <c r="E10" i="6" l="1"/>
  <c r="F10" i="6" l="1"/>
  <c r="L10" i="6" s="1"/>
  <c r="L12" i="6"/>
  <c r="H25" i="6" l="1"/>
  <c r="L27" i="6" l="1"/>
  <c r="I25" i="6"/>
  <c r="L25" i="6" s="1"/>
  <c r="F16" i="6"/>
  <c r="L16" i="6" l="1"/>
  <c r="H34" i="6"/>
  <c r="I34" i="6" l="1"/>
  <c r="H36" i="6"/>
  <c r="L18" i="6" l="1"/>
  <c r="I36" i="6"/>
  <c r="E13" i="6"/>
  <c r="E34" i="6" s="1"/>
  <c r="E35" i="6" l="1"/>
  <c r="E36" i="6"/>
  <c r="E37" i="6" s="1"/>
  <c r="F13" i="6"/>
  <c r="F34" i="6" s="1"/>
  <c r="F36" i="6" s="1"/>
  <c r="F37" i="6" l="1"/>
  <c r="F35" i="6"/>
  <c r="L15" i="6"/>
  <c r="G13" i="6"/>
  <c r="L13" i="6" s="1"/>
  <c r="L34" i="6" s="1"/>
  <c r="G34" i="6" l="1"/>
  <c r="G35" i="6" s="1"/>
  <c r="H35" i="6" s="1"/>
  <c r="I35" i="6" s="1"/>
  <c r="J35" i="6" s="1"/>
  <c r="K35" i="6" s="1"/>
  <c r="L35" i="6" s="1"/>
  <c r="G36" i="6" l="1"/>
  <c r="G37" i="6" s="1"/>
  <c r="H37" i="6" s="1"/>
  <c r="I37" i="6" s="1"/>
  <c r="J37" i="6" s="1"/>
  <c r="K37" i="6" s="1"/>
  <c r="T22" i="4"/>
  <c r="T22" i="9"/>
</calcChain>
</file>

<file path=xl/sharedStrings.xml><?xml version="1.0" encoding="utf-8"?>
<sst xmlns="http://schemas.openxmlformats.org/spreadsheetml/2006/main" count="1886" uniqueCount="466">
  <si>
    <t xml:space="preserve">ITEM </t>
  </si>
  <si>
    <t>DESCRIÇÃO DOS SERVIÇOS</t>
  </si>
  <si>
    <t>QUANT.</t>
  </si>
  <si>
    <t xml:space="preserve">UNID. </t>
  </si>
  <si>
    <t>UNIT.</t>
  </si>
  <si>
    <t>TOTAL</t>
  </si>
  <si>
    <t>LIMPEZA E TERRAPLENAGEM</t>
  </si>
  <si>
    <t>1.1</t>
  </si>
  <si>
    <t>M²</t>
  </si>
  <si>
    <t>1.2</t>
  </si>
  <si>
    <t>ESCAVAÇÃO DE TERRA</t>
  </si>
  <si>
    <t>M³</t>
  </si>
  <si>
    <t>1.3</t>
  </si>
  <si>
    <t>TRANSPORTE DO MATERIAL ESCAVADO</t>
  </si>
  <si>
    <t>COMPACTAÇÃO DE ATERRO</t>
  </si>
  <si>
    <t>GALERIA DE ÁGUAS PLUVIAIS</t>
  </si>
  <si>
    <t>2.1</t>
  </si>
  <si>
    <t>REDE INTERNA</t>
  </si>
  <si>
    <t>2.1.1</t>
  </si>
  <si>
    <t>M</t>
  </si>
  <si>
    <t>2.1.2</t>
  </si>
  <si>
    <t>2.1.3</t>
  </si>
  <si>
    <t>2.1.4</t>
  </si>
  <si>
    <t>2.1.5</t>
  </si>
  <si>
    <t>2.1.6</t>
  </si>
  <si>
    <t xml:space="preserve">BOCA DE LOBO SIMPLES </t>
  </si>
  <si>
    <t>UNID</t>
  </si>
  <si>
    <t>2.1.7</t>
  </si>
  <si>
    <t>2.1.8</t>
  </si>
  <si>
    <t>2.1.9</t>
  </si>
  <si>
    <t>2.1.10</t>
  </si>
  <si>
    <t>2.1.11</t>
  </si>
  <si>
    <t>VB</t>
  </si>
  <si>
    <t>REDE DE ABASTECIMENTO DE ÁGUA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</si>
  <si>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</si>
  <si>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</si>
  <si>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</si>
  <si>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</si>
  <si>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</si>
  <si>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</si>
  <si>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</si>
  <si>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</si>
  <si>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</si>
  <si>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</si>
  <si>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REGISTRO DE GAVETA FoFo DN 150 MM</t>
  </si>
  <si>
    <t>REDE COLETORA DE ESGOTO</t>
  </si>
  <si>
    <t>4.1</t>
  </si>
  <si>
    <t>4.1.1</t>
  </si>
  <si>
    <t>TUBO DE PVC JEI  DN 150 MM</t>
  </si>
  <si>
    <t>4.1.2</t>
  </si>
  <si>
    <t>4.1.3</t>
  </si>
  <si>
    <t>4.1.4</t>
  </si>
  <si>
    <t>RAMAL DE LIGAÇÃO EM TUBO PVC RIGIDO DN 100MM</t>
  </si>
  <si>
    <t>GUIAS E SARJETAS</t>
  </si>
  <si>
    <t>5.1</t>
  </si>
  <si>
    <t xml:space="preserve">GUIAS E SARJETAS PADRÃO P.M. MOLDADAS IN-LOCO </t>
  </si>
  <si>
    <t>5.2</t>
  </si>
  <si>
    <t>PAVIMENTAÇÃO</t>
  </si>
  <si>
    <t>6.1</t>
  </si>
  <si>
    <t>6.1.1</t>
  </si>
  <si>
    <t xml:space="preserve">ABERTURA DE CAIXA </t>
  </si>
  <si>
    <t>6.1.2</t>
  </si>
  <si>
    <t>6.1.3</t>
  </si>
  <si>
    <t>6.1.4</t>
  </si>
  <si>
    <t>6.1.5</t>
  </si>
  <si>
    <t>IMPRIMADURA LIGANTE</t>
  </si>
  <si>
    <t>6.1.6</t>
  </si>
  <si>
    <t>INSTALAÇÕES ESPECIAIS</t>
  </si>
  <si>
    <t>7.1</t>
  </si>
  <si>
    <t>7.1.1</t>
  </si>
  <si>
    <t>7.1.2</t>
  </si>
  <si>
    <t>7.1.3</t>
  </si>
  <si>
    <t>7.1.4</t>
  </si>
  <si>
    <t>7.1.5</t>
  </si>
  <si>
    <t>7.1.6</t>
  </si>
  <si>
    <t>8.1</t>
  </si>
  <si>
    <t xml:space="preserve">BOCA DE LOBO DUPLA  </t>
  </si>
  <si>
    <t>POÇO DE VISITA  EM ALVENARIA DE 0 A 2 M DE PROFUNDIDADE COM TAMPA ARTICULADA DE FERRO FUNDIDO</t>
  </si>
  <si>
    <t>POÇO DE VISITA  EM ALVENARIA DE 2 A 3 M DE PROFUNDIDADE COM TAMPA ARTICULADA DE FERRO FUNDIDO</t>
  </si>
  <si>
    <t>POÇO DE VISITA  EM ALVENARIA DE 3 A 4 M DE PROFUNDIDADE COM TAMPA ARTICULADA DE FERRO FUNDIDO</t>
  </si>
  <si>
    <t>TUBO DEFOFO DN 150 MM</t>
  </si>
  <si>
    <t xml:space="preserve">CAIXA EM ALVENARIA PARA REGISTRO COM TAMPA ARTICULADA DE FERRO FUNDIDO </t>
  </si>
  <si>
    <t>CONEXÕES</t>
  </si>
  <si>
    <t>MELHORIA DO SUB-LEITO POR COMPACTAÇÃO</t>
  </si>
  <si>
    <t>BASE EM SOLO FINO ARENOSO E=15 CM</t>
  </si>
  <si>
    <t>IMPRIMADURA IMPERMEABILIZANTE</t>
  </si>
  <si>
    <t>CAMADA DE ROLAMENTO EM C.B.U.Q. E= 3 CM</t>
  </si>
  <si>
    <t>PAVIMENTAÇÃO - TIPO I</t>
  </si>
  <si>
    <t>SERVIÇOS PRELIMINARES</t>
  </si>
  <si>
    <t>4.2</t>
  </si>
  <si>
    <t>7.2</t>
  </si>
  <si>
    <t>AF2</t>
  </si>
  <si>
    <t>DESCRIÇÃO</t>
  </si>
  <si>
    <t>Itapetininga</t>
  </si>
  <si>
    <t>MENOR VALOR</t>
  </si>
  <si>
    <t>CS</t>
  </si>
  <si>
    <t>Nº lotes</t>
  </si>
  <si>
    <t>unidades</t>
  </si>
  <si>
    <t>m²</t>
  </si>
  <si>
    <t>Área de lote</t>
  </si>
  <si>
    <t>R$/m²</t>
  </si>
  <si>
    <t>12 meses</t>
  </si>
  <si>
    <t xml:space="preserve">Prazo </t>
  </si>
  <si>
    <t>DEMOLIÇÃO DE CONSTRUÇÕES EXISTENTES</t>
  </si>
  <si>
    <t>CORTE DE ARVORES</t>
  </si>
  <si>
    <t xml:space="preserve">OUTROS CUSTOS </t>
  </si>
  <si>
    <t>2.2</t>
  </si>
  <si>
    <t>2.3</t>
  </si>
  <si>
    <t xml:space="preserve">TUBO EM CONCRETO DN 400 MM CLASSE PS1 </t>
  </si>
  <si>
    <t>TUBO EM CONCRETO DN 600 MM CLASSE PS1</t>
  </si>
  <si>
    <t xml:space="preserve">TUBO EM CONCRETO DN 800 MM CLASSE PA1 </t>
  </si>
  <si>
    <t xml:space="preserve">TUBO EM CONCRETO DN 1000 MM CLASSE PA1 </t>
  </si>
  <si>
    <t>POÇO DE VISITA  EM ALVENARIA DE 4 A 5 M DE PROFUNDIDADE COM TAMPA ARTICULADA DE FERRO FUNDIDO</t>
  </si>
  <si>
    <t>DISSIPADOR DE ENERGIA PARA TUBO DE 600 MM</t>
  </si>
  <si>
    <t>DISSIPADOR DE ENERGIA PARA TUBO DE 1000 MM</t>
  </si>
  <si>
    <t>AJUSTE DE PESCOÇO</t>
  </si>
  <si>
    <t>INTERLIGAÇÃO EM POÇO EXISTENTE</t>
  </si>
  <si>
    <t>3.1.10</t>
  </si>
  <si>
    <t>3.1.11</t>
  </si>
  <si>
    <t>3.1.12</t>
  </si>
  <si>
    <t>3.1.13</t>
  </si>
  <si>
    <t>3.1.14</t>
  </si>
  <si>
    <t>TUBO PVC RÍGIDO PBA CLASSE 15 DN 75 MM</t>
  </si>
  <si>
    <t>TUBO PVC RÍGIDO PBA CLASSE 15 DN 100 MM</t>
  </si>
  <si>
    <t>REGISTRO DE GAVETA FoFo DN 50 MM</t>
  </si>
  <si>
    <t>REGISTRO DE GAVETA FoFo DN 75 MM</t>
  </si>
  <si>
    <t>REGISTRO DE GAVETA FoFo DN 100 MM</t>
  </si>
  <si>
    <t>HIDRANTE</t>
  </si>
  <si>
    <t>TUBO PVC DEFOFO 200 MM</t>
  </si>
  <si>
    <t>REGISTRO GAVETA FERRO FUNDIDO COM FLANGE E CABEÇOTE 250MM</t>
  </si>
  <si>
    <t>RAMAL</t>
  </si>
  <si>
    <t>INSTALAÇÃO DE VALVULA DE GAVETA COM FLANGES E CABEÇOTE 250 MM</t>
  </si>
  <si>
    <t>INSTALAÇÃO DE MACROMEDIDOR</t>
  </si>
  <si>
    <t>INTERLIGAÇÃO EM REDE EXISTENTE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</si>
  <si>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</si>
  <si>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</si>
  <si>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</si>
  <si>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</si>
  <si>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</si>
  <si>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</si>
  <si>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</si>
  <si>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</si>
  <si>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</si>
  <si>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</si>
  <si>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</si>
  <si>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</si>
  <si>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</si>
  <si>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5.3</t>
  </si>
  <si>
    <t>5.4</t>
  </si>
  <si>
    <t>5.5</t>
  </si>
  <si>
    <t>5.6</t>
  </si>
  <si>
    <t>5.7</t>
  </si>
  <si>
    <t>5.8</t>
  </si>
  <si>
    <t>TUBO DE PVC JEI  DN 200 MM</t>
  </si>
  <si>
    <t>POÇO DE VISITA DE 0 A 2 M DE PROFUNDIDADE COM TAMPA ARTICULADA DE FERRO FUNDIDO (vide projeto)</t>
  </si>
  <si>
    <t>POÇO DE VISITA DE 2 A 3 M DE PROFUNDIDADE COM TAMPA ARTICULADA DE FERRO FUNDIDO (vide projeto)</t>
  </si>
  <si>
    <t>POÇO DE VISITA  DE 3 A 4 M DE PROFUNDIDADE COM TAMPA ARTICULADA DE FERRO FUNDIDO (vide projeto)</t>
  </si>
  <si>
    <t>Poços de visitas em polietileno (1000x4000) dn 150 mm</t>
  </si>
  <si>
    <t xml:space="preserve">AJUSTE DE PESCOÇO DO POÇO DE VISITA ATÉ O GREIDE DA RUA </t>
  </si>
  <si>
    <t xml:space="preserve">REFORÇO DO SUB-LEITO COMPACTAÇÃO 100% </t>
  </si>
  <si>
    <t>BASE DE BRITA GRADUADA SIMPLES (BGS) E= 10 CM</t>
  </si>
  <si>
    <t>8.2</t>
  </si>
  <si>
    <t>CALÇADA</t>
  </si>
  <si>
    <t>RAMPA ACESSIBILIDADE</t>
  </si>
  <si>
    <t>4.2.1</t>
  </si>
  <si>
    <t>4.2.2</t>
  </si>
  <si>
    <t>REDE EXTERNA</t>
  </si>
  <si>
    <t>MACROMEDIDOR DE VAZÃO</t>
  </si>
  <si>
    <t>vb</t>
  </si>
  <si>
    <t>INFRAESTRUTURA LISBOA II - ITAPETININGA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</si>
  <si>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</si>
  <si>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</si>
  <si>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</si>
  <si>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</si>
  <si>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</si>
  <si>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</si>
  <si>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</si>
  <si>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</si>
  <si>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OUTROS CUSTOS</t>
  </si>
  <si>
    <t>ORÇAMENTO 014/2024</t>
  </si>
  <si>
    <t xml:space="preserve">À: </t>
  </si>
  <si>
    <t>Construtora Stéfani</t>
  </si>
  <si>
    <t>Data:</t>
  </si>
  <si>
    <t>A./C.:</t>
  </si>
  <si>
    <t>Gabriel Garcia</t>
  </si>
  <si>
    <t>Objeto:</t>
  </si>
  <si>
    <t xml:space="preserve">Execução de Infraestrutura para Lotemaneto Residencial Lisboa, ETAPA 2, em Itapetininga-SP </t>
  </si>
  <si>
    <t>BDI</t>
  </si>
  <si>
    <t>Item</t>
  </si>
  <si>
    <t>Descrição</t>
  </si>
  <si>
    <t>Und.</t>
  </si>
  <si>
    <t>Volume</t>
  </si>
  <si>
    <t>P.U.</t>
  </si>
  <si>
    <t>P. Total</t>
  </si>
  <si>
    <t>Material</t>
  </si>
  <si>
    <t>M.O.</t>
  </si>
  <si>
    <t>Equipam.</t>
  </si>
  <si>
    <t>Total</t>
  </si>
  <si>
    <t>Venda</t>
  </si>
  <si>
    <t>Terraplenagem</t>
  </si>
  <si>
    <t>Limpeza do Terreno sem Destocamento de Árvores</t>
  </si>
  <si>
    <t>Escavadeira</t>
  </si>
  <si>
    <t>Carga Material de Limpeza</t>
  </si>
  <si>
    <t>m³</t>
  </si>
  <si>
    <t>Motoniveladora</t>
  </si>
  <si>
    <t>Escavação e Carga Mat. 1/2 Categoria</t>
  </si>
  <si>
    <t>Rolo Pata</t>
  </si>
  <si>
    <t>1.4</t>
  </si>
  <si>
    <t>Transporte material 1/2 Categoria até 1 km</t>
  </si>
  <si>
    <t>Pipa</t>
  </si>
  <si>
    <t>1.5</t>
  </si>
  <si>
    <t>Compactação de Aterro</t>
  </si>
  <si>
    <t>Mobilização</t>
  </si>
  <si>
    <t>1.6</t>
  </si>
  <si>
    <t>Espalhamento Material e Bota Fora - Quadras</t>
  </si>
  <si>
    <t>Sub Total</t>
  </si>
  <si>
    <t>Caminhão</t>
  </si>
  <si>
    <t>Pavimentação</t>
  </si>
  <si>
    <t>Reforço Sub-leito Solo Local</t>
  </si>
  <si>
    <t>Base BGS</t>
  </si>
  <si>
    <t>2.4</t>
  </si>
  <si>
    <t>Imprimadura Impermeabilizante</t>
  </si>
  <si>
    <t>vibro</t>
  </si>
  <si>
    <t>2.5</t>
  </si>
  <si>
    <t>Imprimadura Ligante</t>
  </si>
  <si>
    <t>2.6</t>
  </si>
  <si>
    <t>Camada Rolamento CBUQ - 3 cm</t>
  </si>
  <si>
    <t>rolo pneu</t>
  </si>
  <si>
    <t>2.7</t>
  </si>
  <si>
    <t>Guia Extrusada Tipo I</t>
  </si>
  <si>
    <t>m</t>
  </si>
  <si>
    <t>rolo tandem</t>
  </si>
  <si>
    <t>2.8</t>
  </si>
  <si>
    <t>Guia Extrusada Tipo II</t>
  </si>
  <si>
    <t>Espargidor</t>
  </si>
  <si>
    <t>Espargidor mês</t>
  </si>
  <si>
    <t>Drenagem</t>
  </si>
  <si>
    <t>Tubo Concreto PA-1 400mm</t>
  </si>
  <si>
    <t>Encarregado</t>
  </si>
  <si>
    <t>3.2</t>
  </si>
  <si>
    <t>Tubo Concreto PA-1 600mm</t>
  </si>
  <si>
    <t>Pedreiro</t>
  </si>
  <si>
    <t>3.3</t>
  </si>
  <si>
    <t>Tubo Concreto PA-2 800mm</t>
  </si>
  <si>
    <t>Ajudante</t>
  </si>
  <si>
    <t>3.4</t>
  </si>
  <si>
    <t>Tubo Concreto PA-2 1000mm</t>
  </si>
  <si>
    <t>Veículo</t>
  </si>
  <si>
    <t>3.5</t>
  </si>
  <si>
    <t>Poço de Visita</t>
  </si>
  <si>
    <t>un</t>
  </si>
  <si>
    <t>3.6</t>
  </si>
  <si>
    <t>Boxa de Lobo Simples</t>
  </si>
  <si>
    <t>Escavação</t>
  </si>
  <si>
    <t>3.7</t>
  </si>
  <si>
    <t>Boca de Lobo Dupla</t>
  </si>
  <si>
    <t>laje fundo</t>
  </si>
  <si>
    <t>3.8</t>
  </si>
  <si>
    <t>Dissipador de Energia</t>
  </si>
  <si>
    <t>3.9</t>
  </si>
  <si>
    <t>Rampa Acessibilidade</t>
  </si>
  <si>
    <t>Paredes</t>
  </si>
  <si>
    <t>Reboco</t>
  </si>
  <si>
    <t>Tampa</t>
  </si>
  <si>
    <t>Água</t>
  </si>
  <si>
    <t>Pescoço d60mm</t>
  </si>
  <si>
    <t>Macromedidor - Eletromagnético 100mm</t>
  </si>
  <si>
    <t>Guia Chapéu</t>
  </si>
  <si>
    <t>Registro Gaveta com Cabeçote, Série Métrica Chata, com bolsas e Junta Elástica NBR-12430 150mm Fofo</t>
  </si>
  <si>
    <t>4.3</t>
  </si>
  <si>
    <t>Registro Gaveta com Cabeçote, Série Métrica Chata, com bolsas e Junta Elástica para PVC-PB 100mm Fofo</t>
  </si>
  <si>
    <t>4.4</t>
  </si>
  <si>
    <t>Registro Gaveta com Cabeçote, Série Métrica Chata, com bolsas e Junta Elástica para PVC-PB 75mm Fofo</t>
  </si>
  <si>
    <t>4.5</t>
  </si>
  <si>
    <t>Registro Gaveta com Cabeçote, Série Métrica Chata, com bolsas e Junta Elástica para PVC-PB 50mm Fofo</t>
  </si>
  <si>
    <t>4.6</t>
  </si>
  <si>
    <t>Redução F'F' PB JE 150x50mm</t>
  </si>
  <si>
    <t>4.7</t>
  </si>
  <si>
    <t>Curva F'F' PB JE 90º 150mm</t>
  </si>
  <si>
    <t>4.8</t>
  </si>
  <si>
    <t>Curva PVC PB JE 11º30' 75mm PVC</t>
  </si>
  <si>
    <t>4.9</t>
  </si>
  <si>
    <t>Redução com Flanges 200x150mm Fofo</t>
  </si>
  <si>
    <t>4.10</t>
  </si>
  <si>
    <t>Redução F'F' PB JE150x100mm Fofo</t>
  </si>
  <si>
    <t>4.11</t>
  </si>
  <si>
    <t>Redução PVC PBA PB JE 100x75mm PVC</t>
  </si>
  <si>
    <t>4.12</t>
  </si>
  <si>
    <t>Redução PVC PBA PB JE 100x50mm PVC</t>
  </si>
  <si>
    <t>4.13</t>
  </si>
  <si>
    <t>Redução PVC PBA PB JE 75x50mm PVC</t>
  </si>
  <si>
    <t>4.14</t>
  </si>
  <si>
    <t>TE Redução F'F' com Bolsas JE 150x100mm</t>
  </si>
  <si>
    <t>4.15</t>
  </si>
  <si>
    <t>TE Redução F'F' com Bolsas JE 150x75mm</t>
  </si>
  <si>
    <t>4.16</t>
  </si>
  <si>
    <t>Curva F'F' PB JE PBA 45º 150mm FoFo</t>
  </si>
  <si>
    <t>4.17</t>
  </si>
  <si>
    <t>Curva F'F' PB JE PBA 45º 100mm PVC</t>
  </si>
  <si>
    <t>4.18</t>
  </si>
  <si>
    <t>TE Tripartido Saída Flangeada 400x200mm Fofo</t>
  </si>
  <si>
    <t>4.19</t>
  </si>
  <si>
    <t>Válvula de gaveta com Flange e Cabeçote 200mm Fofo</t>
  </si>
  <si>
    <t>4.20</t>
  </si>
  <si>
    <t>TE F'F' BBB JE 150x150mm Fofo</t>
  </si>
  <si>
    <t>4.21</t>
  </si>
  <si>
    <t>Adaptador Flange/Ponta 200mm Fofo</t>
  </si>
  <si>
    <t>4.22</t>
  </si>
  <si>
    <t>Curva F'F' PB JE x 45º 150mm Fofo</t>
  </si>
  <si>
    <t>4.23</t>
  </si>
  <si>
    <t>Curva F'F' PB JE x 90º 150mm PVC</t>
  </si>
  <si>
    <t>4.24</t>
  </si>
  <si>
    <t>TE PVC Redução JE BBB PBA 100x50mm PVC</t>
  </si>
  <si>
    <t>4.25</t>
  </si>
  <si>
    <t>TE PVC Redução JE BBB PBA 75x50mm PVC</t>
  </si>
  <si>
    <t>4.26</t>
  </si>
  <si>
    <t>TE F'F' BBB JE 150x50mm PVC</t>
  </si>
  <si>
    <t>4.27</t>
  </si>
  <si>
    <t>TE PVC JE BBB PBA 75x75mm PVC</t>
  </si>
  <si>
    <t>4.28</t>
  </si>
  <si>
    <t>TE PVC JE BBB PBA 50x50mm PVC</t>
  </si>
  <si>
    <t>4.29</t>
  </si>
  <si>
    <t>Curva PVC PB JE PBA 11'30' 100mm PVC</t>
  </si>
  <si>
    <t>4.30</t>
  </si>
  <si>
    <t>Curva PVC PB JE PBA 90' 75mm PVC</t>
  </si>
  <si>
    <t>4.31</t>
  </si>
  <si>
    <t>Curva PVC PB JE PBA 11'30' 50mm PVC</t>
  </si>
  <si>
    <t>4.32</t>
  </si>
  <si>
    <t>Curva PVC PB JE PBA 45' 50mm PVC</t>
  </si>
  <si>
    <t>4.33</t>
  </si>
  <si>
    <t>Curva PVC PB JE PBA 90' 50mm PVC</t>
  </si>
  <si>
    <t>4.34</t>
  </si>
  <si>
    <t>Curva PVC PB JE PBA 22'30' 50mm PVC</t>
  </si>
  <si>
    <t>4.35</t>
  </si>
  <si>
    <t>Curva PVC PB JE PBA 22'30' 75mm PVC</t>
  </si>
  <si>
    <t>4.36</t>
  </si>
  <si>
    <t>TE F'F' com Bolsas JE 200x50mm Fofo</t>
  </si>
  <si>
    <t>4.37</t>
  </si>
  <si>
    <t>Hidrante de Coluna Completo 150x100mm NBR7675 Fofo</t>
  </si>
  <si>
    <t>4.38</t>
  </si>
  <si>
    <t>Locação de Rede de Água</t>
  </si>
  <si>
    <t>4.39</t>
  </si>
  <si>
    <t>Tubo Vinilfer MPVC PB JE - NBR 7665 2007 200mm PVC/Fofo</t>
  </si>
  <si>
    <t>4.40</t>
  </si>
  <si>
    <t>Tubo Vinilfer MPVC PB JE - NBR 7665 2007 150mm PVC/Fofo</t>
  </si>
  <si>
    <t>4.41</t>
  </si>
  <si>
    <t>Tubo PVC CL 15 JEI PBA - NBR 5647 100mm PVC</t>
  </si>
  <si>
    <t>4.42</t>
  </si>
  <si>
    <t>Tubo PVC CL 15 JEI PBA - NBR 5647 75mm PVC</t>
  </si>
  <si>
    <t>4.43</t>
  </si>
  <si>
    <t>Tubo PVC CL 15 JEI PBA - NBR 5647 50mm PVC</t>
  </si>
  <si>
    <t>Esgoto</t>
  </si>
  <si>
    <t>Locação de Rede de Esgoto</t>
  </si>
  <si>
    <t>Rede PVC 150mm com 1,50m Profundidade</t>
  </si>
  <si>
    <t>Rede PVC 200mm com 1,50m Profundidade</t>
  </si>
  <si>
    <t>Poço de Visita com Tampão Ferro fundido Ø 600mm com 1,50m Profundidade</t>
  </si>
  <si>
    <t>Materiais Hidráulicos</t>
  </si>
  <si>
    <t>Ramais Prediais</t>
  </si>
  <si>
    <t>ADM</t>
  </si>
  <si>
    <t>Canteiro/Administração e Controle Tecnológico</t>
  </si>
  <si>
    <t>Adicionais</t>
  </si>
  <si>
    <t>Calçada</t>
  </si>
  <si>
    <t>Caixa De Alvenaria com Tampa Metálica p/ registro</t>
  </si>
  <si>
    <t>Descontos</t>
  </si>
  <si>
    <t>10.1</t>
  </si>
  <si>
    <t>Faturamento Materiais Direto Para Contratante</t>
  </si>
  <si>
    <t>Itapetininga - SP</t>
  </si>
  <si>
    <t>"O Senhor é meu pastor, nada me faltará."</t>
  </si>
  <si>
    <t>Rampas</t>
  </si>
  <si>
    <t>CRONOGRAMA FÍSICO-FINANCEIRO</t>
  </si>
  <si>
    <t>SERVIÇOS</t>
  </si>
  <si>
    <t>%</t>
  </si>
  <si>
    <t>VALOR</t>
  </si>
  <si>
    <t>Mês 1</t>
  </si>
  <si>
    <t>Mês 2</t>
  </si>
  <si>
    <t>Mês 3</t>
  </si>
  <si>
    <t>Mês 4</t>
  </si>
  <si>
    <t>Mês 5</t>
  </si>
  <si>
    <t>TERRAPLENAGEM</t>
  </si>
  <si>
    <t>REDE DE GALERIA DE ÁGUAS PLUVIAIS -  INTERNA</t>
  </si>
  <si>
    <t>REDE DE ABASTECIMENTO DE ÁGUA - INTERNA</t>
  </si>
  <si>
    <t>REDE DE ABASTECIMENTO DE ÁGUA - EXTERNA</t>
  </si>
  <si>
    <t>PAVIMENTAÇÃO ASFÁLTICA</t>
  </si>
  <si>
    <t>ACUMULADO</t>
  </si>
  <si>
    <t xml:space="preserve">PORCENTAGEM NO MÊS </t>
  </si>
  <si>
    <t>PORCENTAGEM NO ACUMULADA</t>
  </si>
  <si>
    <t>HISTOGRAMA AF2 ENGENHARIA - RES. LISBOA FASE II</t>
  </si>
  <si>
    <t>HISTOGRAMA | PERÍODOS</t>
  </si>
  <si>
    <t>CANTEIRO | MOBILIZAÇÃO E DESMOBILIZAÇÃO | TOPOGRAFIA E LABORATÓRIO</t>
  </si>
  <si>
    <t>MÃO DE OBRA</t>
  </si>
  <si>
    <t>PRÓPRIA | TERCEIRO</t>
  </si>
  <si>
    <t xml:space="preserve">UNIDADE </t>
  </si>
  <si>
    <t>QUANT./MÊS</t>
  </si>
  <si>
    <t>QUANT. TOTAL</t>
  </si>
  <si>
    <t xml:space="preserve">Engenheiro Residente </t>
  </si>
  <si>
    <t>P</t>
  </si>
  <si>
    <t>Mês</t>
  </si>
  <si>
    <t>Encarregado de Obras</t>
  </si>
  <si>
    <t>Motorista</t>
  </si>
  <si>
    <t>Topógrafo</t>
  </si>
  <si>
    <t>T</t>
  </si>
  <si>
    <t>EQUIPAMENTOS</t>
  </si>
  <si>
    <t>MARCA | MODELO | ANO</t>
  </si>
  <si>
    <t>Veículo Leve</t>
  </si>
  <si>
    <t>Caminhão Carroceria</t>
  </si>
  <si>
    <t>Caminhão Munck</t>
  </si>
  <si>
    <t>Laboratório Movel</t>
  </si>
  <si>
    <t>DRENAGEM | TERRAPLENAGEM</t>
  </si>
  <si>
    <t>Encarregado de Equipe</t>
  </si>
  <si>
    <t>Armador</t>
  </si>
  <si>
    <t>Op. Escavadeira Hidráulica</t>
  </si>
  <si>
    <t>Op. Retroescavadeira</t>
  </si>
  <si>
    <t>Caminhão de Apoio</t>
  </si>
  <si>
    <t>Caminhão Traçado</t>
  </si>
  <si>
    <t>Retroescavadeira</t>
  </si>
  <si>
    <t>Escavadeira Hidráulica</t>
  </si>
  <si>
    <t>REDES DE ESGOTO</t>
  </si>
  <si>
    <t>Encanador</t>
  </si>
  <si>
    <t>REDES DE ÁGUA</t>
  </si>
  <si>
    <t>Enc. de equipe</t>
  </si>
  <si>
    <t>Op. vibro</t>
  </si>
  <si>
    <t>Op. Mêsa</t>
  </si>
  <si>
    <t>Op. de máquinas</t>
  </si>
  <si>
    <t>Op. de acabadora</t>
  </si>
  <si>
    <t>Rasteleiro</t>
  </si>
  <si>
    <t>Apontador</t>
  </si>
  <si>
    <t>Op. espargidor</t>
  </si>
  <si>
    <t>Vibroacabadora</t>
  </si>
  <si>
    <t>Cam. Apoio</t>
  </si>
  <si>
    <t>Rolo chapa pneu</t>
  </si>
  <si>
    <t>Rolo pneu</t>
  </si>
  <si>
    <t>Veículo Leve 2 Lugares</t>
  </si>
  <si>
    <t>Ônibus</t>
  </si>
  <si>
    <t>Cam. Pipa</t>
  </si>
  <si>
    <t>Op. Motoniveladora</t>
  </si>
  <si>
    <t>Usina de Asfálto</t>
  </si>
  <si>
    <t>Op. Usina de Asfálto</t>
  </si>
  <si>
    <t>Cam. Basculante</t>
  </si>
  <si>
    <t>Caminhão Pipa</t>
  </si>
  <si>
    <t>Trator com Grade</t>
  </si>
  <si>
    <t>Rolo Tandem</t>
  </si>
  <si>
    <t>Mês 6</t>
  </si>
  <si>
    <t>Mês 7</t>
  </si>
  <si>
    <t>CAP 50/70</t>
  </si>
  <si>
    <t>CONCRETO FCK 15 MPA</t>
  </si>
  <si>
    <t>TON</t>
  </si>
  <si>
    <t>USINAGEM DE CBUQ</t>
  </si>
  <si>
    <t xml:space="preserve">CONCRETO CONSUMO 250 - GUIAS MOLDADAS IN-LOCO </t>
  </si>
  <si>
    <t>MATERIAIS PARA FATURAMENTO DIRETO</t>
  </si>
  <si>
    <t>TAMPÃO - FoFo - POÇO DE VISITA  EM ALVENARIA DE 0 A 2 M DE PROFUNDIDADE COM TAMPA ARTICULADA DE FERRO FUNDIDO</t>
  </si>
  <si>
    <t>TAMPÃO - FoFo - POÇO DE VISITA  EM ALVENARIA DE 2 A 3 M DE PROFUNDIDADE COM TAMPA ARTICULADA DE FERRO FUNDIDO</t>
  </si>
  <si>
    <t>TAMPÃO - FoFo - POÇO DE VISITA  EM ALVENARIA DE 3 A 4 M DE PROFUNDIDADE COM TAMPA ARTICULADA DE FERRO FUNDIDO</t>
  </si>
  <si>
    <t>TAMPÃO - FoFo - POÇO DE VISITA  EM ALVENARIA DE 4 A 5 M DE PROFUNDIDADE COM TAMPA ARTICULADA DE FERRO FUNDIDO</t>
  </si>
  <si>
    <t>EMULSÃO ASFÁLTICA</t>
  </si>
  <si>
    <t>DIESEL</t>
  </si>
  <si>
    <t>LITROS</t>
  </si>
  <si>
    <t>7.1.7</t>
  </si>
  <si>
    <t/>
  </si>
  <si>
    <t>codigo</t>
  </si>
  <si>
    <t>descricao</t>
  </si>
  <si>
    <t>af2</t>
  </si>
  <si>
    <t>valor</t>
  </si>
  <si>
    <t>status</t>
  </si>
  <si>
    <t>data</t>
  </si>
  <si>
    <t>A</t>
  </si>
  <si>
    <t>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</si>
</sst>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&quot;R$&quot;\ #,##0.00"/>
    <numFmt numFmtId="166" formatCode="_(* #,##0.00_);_(* \(#,##0.00\);_(* &quot;-&quot;??_);_(@_)"/>
    <numFmt numFmtId="167" formatCode="0_ "/>
    <numFmt numFmtId="168" formatCode="#,##0.00_ "/>
    <numFmt numFmtId="169" formatCode="dd/mm/yyyy;@"/>
    <numFmt numFmtId="170" formatCode="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sz val="14"/>
      <color rgb="FF002060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>
      <alignment vertical="center"/>
    </xf>
  </cellStyleXfs>
  <cellXfs count="356">
    <xf numFmtId="0" fontId="0" fillId="0" borderId="0" xfId="0"/>
    <xf numFmtId="0" fontId="7" fillId="6" borderId="15" xfId="0" applyFont="1" applyFill="1" applyBorder="1" applyAlignment="1">
      <alignment horizontal="center" vertical="center" wrapText="1"/>
    </xf>
    <xf numFmtId="165" fontId="7" fillId="6" borderId="16" xfId="2" applyNumberFormat="1" applyFont="1" applyFill="1" applyBorder="1" applyAlignment="1" applyProtection="1">
      <alignment horizontal="center" vertical="center" wrapText="1"/>
    </xf>
    <xf numFmtId="1" fontId="12" fillId="0" borderId="23" xfId="0" applyNumberFormat="1" applyFont="1" applyBorder="1" applyAlignment="1">
      <alignment horizontal="center" vertical="center"/>
    </xf>
    <xf numFmtId="0" fontId="12" fillId="7" borderId="22" xfId="0" applyFont="1" applyFill="1" applyBorder="1" applyAlignment="1">
      <alignment horizontal="justify" vertical="center"/>
    </xf>
    <xf numFmtId="4" fontId="13" fillId="0" borderId="24" xfId="4" applyNumberFormat="1" applyFont="1" applyBorder="1" applyAlignment="1">
      <alignment horizontal="center" vertical="center"/>
    </xf>
    <xf numFmtId="49" fontId="14" fillId="0" borderId="25" xfId="4" applyNumberFormat="1" applyFont="1" applyBorder="1" applyAlignment="1">
      <alignment horizontal="center" vertical="center"/>
    </xf>
    <xf numFmtId="1" fontId="16" fillId="2" borderId="23" xfId="0" applyNumberFormat="1" applyFont="1" applyFill="1" applyBorder="1" applyAlignment="1">
      <alignment horizontal="center" vertical="center"/>
    </xf>
    <xf numFmtId="49" fontId="13" fillId="2" borderId="29" xfId="4" applyNumberFormat="1" applyFont="1" applyFill="1" applyBorder="1" applyAlignment="1">
      <alignment horizontal="left" vertical="center" wrapText="1"/>
    </xf>
    <xf numFmtId="4" fontId="13" fillId="2" borderId="30" xfId="4" applyNumberFormat="1" applyFont="1" applyFill="1" applyBorder="1" applyAlignment="1">
      <alignment horizontal="center" vertical="center"/>
    </xf>
    <xf numFmtId="49" fontId="13" fillId="2" borderId="25" xfId="4" applyNumberFormat="1" applyFont="1" applyFill="1" applyBorder="1" applyAlignment="1">
      <alignment horizontal="center" vertical="center"/>
    </xf>
    <xf numFmtId="164" fontId="13" fillId="2" borderId="25" xfId="5" applyNumberFormat="1" applyFont="1" applyFill="1" applyBorder="1" applyAlignment="1" applyProtection="1">
      <alignment horizontal="center" vertical="center"/>
    </xf>
    <xf numFmtId="49" fontId="15" fillId="0" borderId="29" xfId="4" applyNumberFormat="1" applyFont="1" applyBorder="1" applyAlignment="1">
      <alignment horizontal="left" vertical="center" wrapText="1"/>
    </xf>
    <xf numFmtId="4" fontId="13" fillId="0" borderId="30" xfId="4" applyNumberFormat="1" applyFont="1" applyBorder="1" applyAlignment="1">
      <alignment horizontal="center" vertical="center"/>
    </xf>
    <xf numFmtId="4" fontId="13" fillId="0" borderId="32" xfId="4" applyNumberFormat="1" applyFont="1" applyBorder="1" applyAlignment="1">
      <alignment horizontal="center" vertical="center"/>
    </xf>
    <xf numFmtId="49" fontId="15" fillId="7" borderId="26" xfId="4" applyNumberFormat="1" applyFont="1" applyFill="1" applyBorder="1" applyAlignment="1">
      <alignment horizontal="left" vertical="center" wrapText="1"/>
    </xf>
    <xf numFmtId="1" fontId="5" fillId="0" borderId="23" xfId="0" applyNumberFormat="1" applyFont="1" applyBorder="1" applyAlignment="1">
      <alignment horizontal="center" vertical="center"/>
    </xf>
    <xf numFmtId="4" fontId="9" fillId="0" borderId="30" xfId="4" applyNumberFormat="1" applyFont="1" applyBorder="1" applyAlignment="1">
      <alignment horizontal="center" vertical="center"/>
    </xf>
    <xf numFmtId="49" fontId="10" fillId="0" borderId="25" xfId="4" applyNumberFormat="1" applyFont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1" fontId="12" fillId="0" borderId="37" xfId="0" applyNumberFormat="1" applyFont="1" applyBorder="1" applyAlignment="1">
      <alignment horizontal="center" vertical="center"/>
    </xf>
    <xf numFmtId="0" fontId="12" fillId="7" borderId="34" xfId="0" applyFont="1" applyFill="1" applyBorder="1" applyAlignment="1">
      <alignment horizontal="justify" vertical="center" wrapText="1"/>
    </xf>
    <xf numFmtId="49" fontId="14" fillId="0" borderId="31" xfId="4" applyNumberFormat="1" applyFont="1" applyBorder="1" applyAlignment="1">
      <alignment horizontal="center" vertical="center"/>
    </xf>
    <xf numFmtId="164" fontId="15" fillId="0" borderId="33" xfId="5" applyNumberFormat="1" applyFont="1" applyFill="1" applyBorder="1" applyAlignment="1" applyProtection="1">
      <alignment horizontal="center" vertical="center"/>
    </xf>
    <xf numFmtId="0" fontId="15" fillId="9" borderId="36" xfId="0" applyFont="1" applyFill="1" applyBorder="1" applyAlignment="1">
      <alignment horizontal="center" vertical="center" wrapText="1"/>
    </xf>
    <xf numFmtId="165" fontId="15" fillId="9" borderId="21" xfId="2" applyNumberFormat="1" applyFont="1" applyFill="1" applyBorder="1" applyAlignment="1" applyProtection="1">
      <alignment vertical="center" wrapText="1"/>
    </xf>
    <xf numFmtId="0" fontId="15" fillId="9" borderId="24" xfId="0" applyFont="1" applyFill="1" applyBorder="1" applyAlignment="1">
      <alignment horizontal="center" vertical="center" wrapText="1"/>
    </xf>
    <xf numFmtId="165" fontId="15" fillId="9" borderId="26" xfId="2" applyNumberFormat="1" applyFont="1" applyFill="1" applyBorder="1" applyAlignment="1" applyProtection="1">
      <alignment vertical="center" wrapText="1"/>
    </xf>
    <xf numFmtId="0" fontId="15" fillId="9" borderId="39" xfId="0" applyFont="1" applyFill="1" applyBorder="1" applyAlignment="1">
      <alignment horizontal="center" vertical="center" wrapText="1"/>
    </xf>
    <xf numFmtId="165" fontId="15" fillId="9" borderId="28" xfId="2" applyNumberFormat="1" applyFont="1" applyFill="1" applyBorder="1" applyAlignment="1" applyProtection="1">
      <alignment vertical="center" wrapText="1"/>
    </xf>
    <xf numFmtId="2" fontId="0" fillId="0" borderId="0" xfId="0" applyNumberFormat="1"/>
    <xf numFmtId="1" fontId="0" fillId="0" borderId="0" xfId="0" applyNumberFormat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165" fontId="7" fillId="6" borderId="17" xfId="0" applyNumberFormat="1" applyFont="1" applyFill="1" applyBorder="1" applyAlignment="1">
      <alignment horizontal="center" vertical="center" wrapText="1"/>
    </xf>
    <xf numFmtId="165" fontId="2" fillId="10" borderId="0" xfId="0" applyNumberFormat="1" applyFont="1" applyFill="1" applyAlignment="1">
      <alignment vertical="center"/>
    </xf>
    <xf numFmtId="0" fontId="7" fillId="3" borderId="17" xfId="0" applyFont="1" applyFill="1" applyBorder="1" applyAlignment="1">
      <alignment horizontal="center" vertical="center" wrapText="1"/>
    </xf>
    <xf numFmtId="164" fontId="7" fillId="3" borderId="17" xfId="0" applyNumberFormat="1" applyFont="1" applyFill="1" applyBorder="1" applyAlignment="1">
      <alignment horizontal="center" vertical="center" wrapText="1"/>
    </xf>
    <xf numFmtId="164" fontId="13" fillId="10" borderId="42" xfId="5" applyNumberFormat="1" applyFont="1" applyFill="1" applyBorder="1" applyAlignment="1" applyProtection="1">
      <alignment horizontal="center" vertical="center"/>
    </xf>
    <xf numFmtId="164" fontId="13" fillId="10" borderId="43" xfId="5" applyNumberFormat="1" applyFont="1" applyFill="1" applyBorder="1" applyAlignment="1" applyProtection="1">
      <alignment horizontal="center" vertical="center"/>
    </xf>
    <xf numFmtId="164" fontId="13" fillId="2" borderId="43" xfId="5" applyNumberFormat="1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>
      <alignment horizontal="center" vertical="center" wrapText="1"/>
    </xf>
    <xf numFmtId="164" fontId="13" fillId="8" borderId="6" xfId="5" applyNumberFormat="1" applyFont="1" applyFill="1" applyBorder="1" applyAlignment="1" applyProtection="1">
      <alignment horizontal="center" vertical="center"/>
    </xf>
    <xf numFmtId="1" fontId="5" fillId="5" borderId="12" xfId="0" applyNumberFormat="1" applyFont="1" applyFill="1" applyBorder="1" applyAlignment="1">
      <alignment horizontal="center" vertical="center"/>
    </xf>
    <xf numFmtId="165" fontId="11" fillId="5" borderId="16" xfId="2" applyNumberFormat="1" applyFont="1" applyFill="1" applyBorder="1" applyAlignment="1" applyProtection="1">
      <alignment horizontal="center" vertical="center" wrapText="1"/>
    </xf>
    <xf numFmtId="164" fontId="13" fillId="10" borderId="49" xfId="5" applyNumberFormat="1" applyFont="1" applyFill="1" applyBorder="1" applyAlignment="1" applyProtection="1">
      <alignment horizontal="center" vertical="center"/>
    </xf>
    <xf numFmtId="10" fontId="19" fillId="9" borderId="16" xfId="3" applyNumberFormat="1" applyFont="1" applyFill="1" applyBorder="1" applyAlignment="1" applyProtection="1">
      <alignment horizontal="center" vertical="center" wrapText="1"/>
    </xf>
    <xf numFmtId="0" fontId="16" fillId="9" borderId="36" xfId="0" applyFont="1" applyFill="1" applyBorder="1" applyAlignment="1">
      <alignment vertical="center" wrapText="1"/>
    </xf>
    <xf numFmtId="0" fontId="16" fillId="9" borderId="20" xfId="0" applyFont="1" applyFill="1" applyBorder="1" applyAlignment="1">
      <alignment vertical="center"/>
    </xf>
    <xf numFmtId="0" fontId="16" fillId="9" borderId="19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 wrapText="1"/>
    </xf>
    <xf numFmtId="0" fontId="16" fillId="9" borderId="24" xfId="0" applyFont="1" applyFill="1" applyBorder="1" applyAlignment="1">
      <alignment vertical="center" wrapText="1"/>
    </xf>
    <xf numFmtId="0" fontId="16" fillId="9" borderId="25" xfId="0" applyFont="1" applyFill="1" applyBorder="1" applyAlignment="1">
      <alignment vertical="center"/>
    </xf>
    <xf numFmtId="0" fontId="16" fillId="9" borderId="22" xfId="0" applyFont="1" applyFill="1" applyBorder="1" applyAlignment="1">
      <alignment vertical="center"/>
    </xf>
    <xf numFmtId="0" fontId="3" fillId="9" borderId="10" xfId="0" applyFont="1" applyFill="1" applyBorder="1" applyAlignment="1">
      <alignment horizontal="center" vertical="center" wrapText="1"/>
    </xf>
    <xf numFmtId="0" fontId="16" fillId="9" borderId="39" xfId="0" applyFont="1" applyFill="1" applyBorder="1" applyAlignment="1">
      <alignment vertical="center" wrapText="1"/>
    </xf>
    <xf numFmtId="165" fontId="16" fillId="9" borderId="27" xfId="0" applyNumberFormat="1" applyFont="1" applyFill="1" applyBorder="1" applyAlignment="1">
      <alignment vertical="center"/>
    </xf>
    <xf numFmtId="0" fontId="16" fillId="9" borderId="12" xfId="0" applyFont="1" applyFill="1" applyBorder="1" applyAlignment="1">
      <alignment vertical="center"/>
    </xf>
    <xf numFmtId="0" fontId="16" fillId="9" borderId="14" xfId="0" applyFont="1" applyFill="1" applyBorder="1" applyAlignment="1">
      <alignment vertical="center"/>
    </xf>
    <xf numFmtId="1" fontId="12" fillId="0" borderId="51" xfId="0" applyNumberFormat="1" applyFont="1" applyBorder="1" applyAlignment="1">
      <alignment horizontal="center" vertical="center"/>
    </xf>
    <xf numFmtId="4" fontId="13" fillId="0" borderId="51" xfId="4" applyNumberFormat="1" applyFont="1" applyBorder="1" applyAlignment="1">
      <alignment horizontal="center" vertical="center"/>
    </xf>
    <xf numFmtId="49" fontId="14" fillId="0" borderId="51" xfId="4" applyNumberFormat="1" applyFont="1" applyBorder="1" applyAlignment="1">
      <alignment horizontal="center" vertical="center"/>
    </xf>
    <xf numFmtId="164" fontId="15" fillId="0" borderId="51" xfId="5" applyNumberFormat="1" applyFont="1" applyFill="1" applyBorder="1" applyAlignment="1" applyProtection="1">
      <alignment horizontal="center" vertical="center"/>
    </xf>
    <xf numFmtId="1" fontId="16" fillId="2" borderId="51" xfId="0" applyNumberFormat="1" applyFont="1" applyFill="1" applyBorder="1" applyAlignment="1">
      <alignment horizontal="center" vertical="center"/>
    </xf>
    <xf numFmtId="49" fontId="13" fillId="2" borderId="51" xfId="4" applyNumberFormat="1" applyFont="1" applyFill="1" applyBorder="1" applyAlignment="1">
      <alignment horizontal="left" vertical="center" wrapText="1"/>
    </xf>
    <xf numFmtId="4" fontId="13" fillId="2" borderId="51" xfId="4" applyNumberFormat="1" applyFont="1" applyFill="1" applyBorder="1" applyAlignment="1">
      <alignment horizontal="center" vertical="center"/>
    </xf>
    <xf numFmtId="49" fontId="13" fillId="2" borderId="51" xfId="4" applyNumberFormat="1" applyFont="1" applyFill="1" applyBorder="1" applyAlignment="1">
      <alignment horizontal="center" vertical="center"/>
    </xf>
    <xf numFmtId="164" fontId="13" fillId="2" borderId="51" xfId="5" applyNumberFormat="1" applyFont="1" applyFill="1" applyBorder="1" applyAlignment="1" applyProtection="1">
      <alignment horizontal="center" vertical="center"/>
    </xf>
    <xf numFmtId="49" fontId="15" fillId="0" borderId="51" xfId="4" applyNumberFormat="1" applyFont="1" applyBorder="1" applyAlignment="1">
      <alignment horizontal="left" vertical="center" wrapText="1"/>
    </xf>
    <xf numFmtId="9" fontId="3" fillId="3" borderId="51" xfId="3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43" fontId="3" fillId="2" borderId="51" xfId="1" applyFont="1" applyFill="1" applyBorder="1" applyAlignment="1" applyProtection="1">
      <alignment horizontal="center" vertical="center" wrapText="1"/>
    </xf>
    <xf numFmtId="43" fontId="0" fillId="0" borderId="0" xfId="1" applyFont="1"/>
    <xf numFmtId="0" fontId="13" fillId="3" borderId="51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vertical="center" wrapText="1"/>
    </xf>
    <xf numFmtId="0" fontId="20" fillId="3" borderId="51" xfId="0" applyFont="1" applyFill="1" applyBorder="1" applyAlignment="1">
      <alignment horizontal="center" vertical="center" wrapText="1"/>
    </xf>
    <xf numFmtId="43" fontId="22" fillId="0" borderId="0" xfId="1" applyFont="1"/>
    <xf numFmtId="0" fontId="22" fillId="0" borderId="0" xfId="0" applyFont="1"/>
    <xf numFmtId="167" fontId="6" fillId="0" borderId="0" xfId="6" applyNumberFormat="1" applyAlignment="1">
      <alignment horizontal="center" vertical="center"/>
    </xf>
    <xf numFmtId="168" fontId="6" fillId="0" borderId="0" xfId="6" applyNumberFormat="1" applyAlignment="1">
      <alignment horizontal="left" vertical="center" wrapText="1"/>
    </xf>
    <xf numFmtId="168" fontId="6" fillId="0" borderId="0" xfId="6" applyNumberFormat="1" applyAlignment="1">
      <alignment horizontal="center" vertical="center"/>
    </xf>
    <xf numFmtId="168" fontId="23" fillId="0" borderId="0" xfId="6" applyNumberFormat="1" applyFont="1" applyAlignment="1">
      <alignment horizontal="center" vertical="center"/>
    </xf>
    <xf numFmtId="168" fontId="6" fillId="0" borderId="0" xfId="6" applyNumberFormat="1" applyAlignment="1">
      <alignment horizontal="center" vertical="center" wrapText="1"/>
    </xf>
    <xf numFmtId="168" fontId="23" fillId="0" borderId="0" xfId="6" applyNumberFormat="1" applyFont="1" applyAlignment="1">
      <alignment horizontal="center" vertical="center" wrapText="1"/>
    </xf>
    <xf numFmtId="167" fontId="6" fillId="0" borderId="0" xfId="6" applyNumberFormat="1" applyAlignment="1">
      <alignment horizontal="right" vertical="center"/>
    </xf>
    <xf numFmtId="168" fontId="23" fillId="0" borderId="0" xfId="6" applyNumberFormat="1" applyFont="1" applyAlignment="1">
      <alignment horizontal="left" vertical="center" wrapText="1"/>
    </xf>
    <xf numFmtId="168" fontId="6" fillId="0" borderId="0" xfId="6" applyNumberFormat="1" applyAlignment="1">
      <alignment horizontal="right" vertical="center"/>
    </xf>
    <xf numFmtId="169" fontId="6" fillId="0" borderId="0" xfId="6" applyNumberFormat="1" applyAlignment="1">
      <alignment horizontal="left" vertical="center"/>
    </xf>
    <xf numFmtId="10" fontId="6" fillId="0" borderId="0" xfId="6" applyNumberFormat="1" applyAlignment="1">
      <alignment horizontal="center" vertical="center"/>
    </xf>
    <xf numFmtId="167" fontId="6" fillId="0" borderId="0" xfId="6" applyNumberFormat="1" applyAlignment="1">
      <alignment horizontal="left" vertical="center"/>
    </xf>
    <xf numFmtId="167" fontId="23" fillId="11" borderId="51" xfId="6" applyNumberFormat="1" applyFont="1" applyFill="1" applyBorder="1" applyAlignment="1">
      <alignment horizontal="center" vertical="center"/>
    </xf>
    <xf numFmtId="168" fontId="23" fillId="11" borderId="51" xfId="6" applyNumberFormat="1" applyFont="1" applyFill="1" applyBorder="1" applyAlignment="1">
      <alignment horizontal="left" vertical="center" wrapText="1"/>
    </xf>
    <xf numFmtId="168" fontId="23" fillId="11" borderId="51" xfId="6" applyNumberFormat="1" applyFont="1" applyFill="1" applyBorder="1" applyAlignment="1">
      <alignment horizontal="center" vertical="center"/>
    </xf>
    <xf numFmtId="167" fontId="6" fillId="0" borderId="53" xfId="6" applyNumberFormat="1" applyBorder="1" applyAlignment="1">
      <alignment horizontal="center" vertical="center"/>
    </xf>
    <xf numFmtId="168" fontId="6" fillId="0" borderId="53" xfId="6" applyNumberFormat="1" applyBorder="1" applyAlignment="1">
      <alignment horizontal="left" vertical="center" wrapText="1"/>
    </xf>
    <xf numFmtId="168" fontId="6" fillId="0" borderId="53" xfId="6" applyNumberFormat="1" applyBorder="1" applyAlignment="1">
      <alignment horizontal="center" vertical="center"/>
    </xf>
    <xf numFmtId="167" fontId="6" fillId="0" borderId="25" xfId="6" applyNumberFormat="1" applyBorder="1" applyAlignment="1">
      <alignment horizontal="center" vertical="center"/>
    </xf>
    <xf numFmtId="168" fontId="6" fillId="0" borderId="25" xfId="6" applyNumberFormat="1" applyBorder="1" applyAlignment="1">
      <alignment horizontal="left" vertical="center" wrapText="1"/>
    </xf>
    <xf numFmtId="168" fontId="6" fillId="0" borderId="25" xfId="6" applyNumberFormat="1" applyBorder="1" applyAlignment="1">
      <alignment horizontal="center" vertical="center"/>
    </xf>
    <xf numFmtId="168" fontId="6" fillId="7" borderId="25" xfId="6" applyNumberFormat="1" applyFill="1" applyBorder="1" applyAlignment="1">
      <alignment horizontal="center" vertical="center"/>
    </xf>
    <xf numFmtId="10" fontId="24" fillId="0" borderId="0" xfId="6" applyNumberFormat="1" applyFont="1" applyAlignment="1">
      <alignment horizontal="center" vertical="center"/>
    </xf>
    <xf numFmtId="168" fontId="23" fillId="0" borderId="25" xfId="6" applyNumberFormat="1" applyFont="1" applyBorder="1" applyAlignment="1">
      <alignment horizontal="center" vertical="center"/>
    </xf>
    <xf numFmtId="168" fontId="6" fillId="8" borderId="25" xfId="6" applyNumberFormat="1" applyFill="1" applyBorder="1" applyAlignment="1">
      <alignment horizontal="left" vertical="center" wrapText="1"/>
    </xf>
    <xf numFmtId="168" fontId="6" fillId="8" borderId="25" xfId="6" applyNumberFormat="1" applyFill="1" applyBorder="1" applyAlignment="1">
      <alignment horizontal="center" vertical="center"/>
    </xf>
    <xf numFmtId="168" fontId="6" fillId="0" borderId="33" xfId="6" applyNumberFormat="1" applyBorder="1" applyAlignment="1">
      <alignment horizontal="left" vertical="center" wrapText="1"/>
    </xf>
    <xf numFmtId="168" fontId="6" fillId="0" borderId="33" xfId="6" applyNumberFormat="1" applyBorder="1" applyAlignment="1">
      <alignment horizontal="center" vertical="center"/>
    </xf>
    <xf numFmtId="167" fontId="25" fillId="0" borderId="54" xfId="6" applyNumberFormat="1" applyFont="1" applyBorder="1" applyAlignment="1">
      <alignment horizontal="center" vertical="center"/>
    </xf>
    <xf numFmtId="168" fontId="25" fillId="0" borderId="54" xfId="6" applyNumberFormat="1" applyFont="1" applyBorder="1" applyAlignment="1">
      <alignment horizontal="left" vertical="center" wrapText="1"/>
    </xf>
    <xf numFmtId="168" fontId="25" fillId="0" borderId="54" xfId="6" applyNumberFormat="1" applyFont="1" applyBorder="1" applyAlignment="1">
      <alignment horizontal="center" vertical="center"/>
    </xf>
    <xf numFmtId="168" fontId="26" fillId="0" borderId="54" xfId="6" applyNumberFormat="1" applyFont="1" applyBorder="1" applyAlignment="1">
      <alignment horizontal="center" vertical="center"/>
    </xf>
    <xf numFmtId="168" fontId="25" fillId="0" borderId="25" xfId="6" applyNumberFormat="1" applyFont="1" applyBorder="1" applyAlignment="1">
      <alignment horizontal="left" vertical="center" wrapText="1"/>
    </xf>
    <xf numFmtId="168" fontId="25" fillId="0" borderId="25" xfId="6" applyNumberFormat="1" applyFont="1" applyBorder="1" applyAlignment="1">
      <alignment horizontal="center" vertical="center"/>
    </xf>
    <xf numFmtId="167" fontId="6" fillId="0" borderId="55" xfId="6" applyNumberFormat="1" applyBorder="1" applyAlignment="1">
      <alignment horizontal="center" vertical="center"/>
    </xf>
    <xf numFmtId="168" fontId="6" fillId="0" borderId="55" xfId="6" applyNumberFormat="1" applyBorder="1" applyAlignment="1">
      <alignment horizontal="left" vertical="center" wrapText="1"/>
    </xf>
    <xf numFmtId="168" fontId="6" fillId="0" borderId="55" xfId="6" applyNumberFormat="1" applyBorder="1" applyAlignment="1">
      <alignment horizontal="center" vertical="center"/>
    </xf>
    <xf numFmtId="168" fontId="24" fillId="0" borderId="0" xfId="6" applyNumberFormat="1" applyFont="1" applyAlignment="1">
      <alignment horizontal="center" vertical="center"/>
    </xf>
    <xf numFmtId="43" fontId="0" fillId="0" borderId="0" xfId="1" applyFont="1" applyAlignment="1">
      <alignment vertical="center"/>
    </xf>
    <xf numFmtId="43" fontId="0" fillId="11" borderId="0" xfId="1" applyFont="1" applyFill="1" applyAlignment="1">
      <alignment vertical="center"/>
    </xf>
    <xf numFmtId="43" fontId="22" fillId="0" borderId="0" xfId="1" applyFont="1" applyAlignment="1">
      <alignment vertical="center"/>
    </xf>
    <xf numFmtId="10" fontId="0" fillId="0" borderId="0" xfId="3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/>
    <xf numFmtId="0" fontId="30" fillId="11" borderId="62" xfId="0" applyFont="1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10" fontId="28" fillId="0" borderId="59" xfId="0" applyNumberFormat="1" applyFont="1" applyBorder="1" applyAlignment="1">
      <alignment horizontal="center" vertical="center"/>
    </xf>
    <xf numFmtId="165" fontId="0" fillId="0" borderId="0" xfId="0" applyNumberFormat="1"/>
    <xf numFmtId="168" fontId="6" fillId="11" borderId="0" xfId="6" applyNumberFormat="1" applyFill="1" applyAlignment="1">
      <alignment horizontal="center" vertical="center"/>
    </xf>
    <xf numFmtId="168" fontId="23" fillId="11" borderId="0" xfId="6" applyNumberFormat="1" applyFont="1" applyFill="1" applyAlignment="1">
      <alignment horizontal="center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0" fontId="32" fillId="0" borderId="0" xfId="0" applyFont="1"/>
    <xf numFmtId="0" fontId="29" fillId="0" borderId="0" xfId="0" applyFont="1" applyAlignment="1">
      <alignment horizontal="left" vertical="center" indent="4"/>
    </xf>
    <xf numFmtId="0" fontId="33" fillId="0" borderId="0" xfId="0" applyFont="1" applyAlignment="1">
      <alignment horizontal="left" vertical="center"/>
    </xf>
    <xf numFmtId="0" fontId="34" fillId="13" borderId="52" xfId="0" applyFont="1" applyFill="1" applyBorder="1" applyAlignment="1">
      <alignment horizontal="center" vertical="center" wrapText="1"/>
    </xf>
    <xf numFmtId="0" fontId="34" fillId="13" borderId="52" xfId="0" applyFont="1" applyFill="1" applyBorder="1" applyAlignment="1">
      <alignment horizontal="center" vertical="center"/>
    </xf>
    <xf numFmtId="0" fontId="34" fillId="13" borderId="61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13" borderId="67" xfId="0" applyFont="1" applyFill="1" applyBorder="1" applyAlignment="1">
      <alignment horizontal="center" vertical="center"/>
    </xf>
    <xf numFmtId="0" fontId="34" fillId="13" borderId="51" xfId="0" applyFont="1" applyFill="1" applyBorder="1" applyAlignment="1">
      <alignment horizontal="center" vertical="center"/>
    </xf>
    <xf numFmtId="0" fontId="34" fillId="13" borderId="68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/>
    </xf>
    <xf numFmtId="0" fontId="28" fillId="0" borderId="70" xfId="0" applyFont="1" applyBorder="1" applyAlignment="1">
      <alignment horizontal="center"/>
    </xf>
    <xf numFmtId="0" fontId="28" fillId="0" borderId="69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34" fillId="13" borderId="51" xfId="0" applyFont="1" applyFill="1" applyBorder="1" applyAlignment="1">
      <alignment horizontal="center" vertical="center" wrapText="1"/>
    </xf>
    <xf numFmtId="0" fontId="28" fillId="0" borderId="25" xfId="0" quotePrefix="1" applyFont="1" applyBorder="1" applyAlignment="1">
      <alignment horizontal="center"/>
    </xf>
    <xf numFmtId="0" fontId="28" fillId="0" borderId="25" xfId="0" quotePrefix="1" applyFont="1" applyBorder="1" applyAlignment="1">
      <alignment horizontal="center" vertical="center"/>
    </xf>
    <xf numFmtId="0" fontId="28" fillId="0" borderId="53" xfId="0" applyFont="1" applyBorder="1" applyAlignment="1">
      <alignment horizontal="center"/>
    </xf>
    <xf numFmtId="0" fontId="28" fillId="0" borderId="71" xfId="0" applyFont="1" applyBorder="1" applyAlignment="1">
      <alignment horizontal="center"/>
    </xf>
    <xf numFmtId="0" fontId="28" fillId="0" borderId="53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/>
    </xf>
    <xf numFmtId="0" fontId="28" fillId="0" borderId="0" xfId="0" applyFont="1" applyAlignment="1">
      <alignment horizontal="left" indent="3"/>
    </xf>
    <xf numFmtId="43" fontId="28" fillId="0" borderId="0" xfId="1" applyFont="1" applyAlignment="1">
      <alignment horizontal="left" indent="3"/>
    </xf>
    <xf numFmtId="0" fontId="29" fillId="12" borderId="73" xfId="0" applyFont="1" applyFill="1" applyBorder="1" applyAlignment="1">
      <alignment horizontal="left" vertical="center" indent="7"/>
    </xf>
    <xf numFmtId="0" fontId="29" fillId="12" borderId="74" xfId="0" applyFont="1" applyFill="1" applyBorder="1" applyAlignment="1">
      <alignment horizontal="left" vertical="center" wrapText="1"/>
    </xf>
    <xf numFmtId="0" fontId="29" fillId="12" borderId="74" xfId="0" applyFont="1" applyFill="1" applyBorder="1" applyAlignment="1">
      <alignment horizontal="left" vertical="center" indent="4"/>
    </xf>
    <xf numFmtId="0" fontId="29" fillId="12" borderId="75" xfId="0" applyFont="1" applyFill="1" applyBorder="1" applyAlignment="1">
      <alignment horizontal="left" vertical="center" indent="4"/>
    </xf>
    <xf numFmtId="0" fontId="29" fillId="0" borderId="8" xfId="0" applyFont="1" applyBorder="1" applyAlignment="1">
      <alignment horizontal="left" vertical="center" indent="4"/>
    </xf>
    <xf numFmtId="0" fontId="29" fillId="12" borderId="76" xfId="0" applyFont="1" applyFill="1" applyBorder="1" applyAlignment="1">
      <alignment horizontal="center" vertical="center"/>
    </xf>
    <xf numFmtId="0" fontId="29" fillId="12" borderId="77" xfId="0" applyFont="1" applyFill="1" applyBorder="1" applyAlignment="1">
      <alignment horizontal="center" vertical="center"/>
    </xf>
    <xf numFmtId="0" fontId="34" fillId="13" borderId="78" xfId="0" applyFont="1" applyFill="1" applyBorder="1" applyAlignment="1">
      <alignment horizontal="left" vertical="center" indent="3"/>
    </xf>
    <xf numFmtId="0" fontId="34" fillId="13" borderId="79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left" indent="3"/>
    </xf>
    <xf numFmtId="0" fontId="28" fillId="0" borderId="22" xfId="0" applyFont="1" applyBorder="1" applyAlignment="1">
      <alignment horizontal="center" vertical="center"/>
    </xf>
    <xf numFmtId="0" fontId="28" fillId="0" borderId="32" xfId="0" applyFont="1" applyBorder="1" applyAlignment="1">
      <alignment horizontal="left" indent="3"/>
    </xf>
    <xf numFmtId="0" fontId="28" fillId="0" borderId="80" xfId="0" applyFont="1" applyBorder="1" applyAlignment="1">
      <alignment horizontal="center" vertical="center"/>
    </xf>
    <xf numFmtId="0" fontId="28" fillId="0" borderId="39" xfId="0" applyFont="1" applyBorder="1" applyAlignment="1">
      <alignment horizontal="left" indent="3"/>
    </xf>
    <xf numFmtId="0" fontId="28" fillId="0" borderId="27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/>
    </xf>
    <xf numFmtId="0" fontId="28" fillId="0" borderId="81" xfId="0" applyFont="1" applyBorder="1" applyAlignment="1">
      <alignment horizontal="center"/>
    </xf>
    <xf numFmtId="0" fontId="28" fillId="0" borderId="13" xfId="0" applyFont="1" applyBorder="1"/>
    <xf numFmtId="0" fontId="28" fillId="0" borderId="82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34" fillId="13" borderId="66" xfId="0" applyFont="1" applyFill="1" applyBorder="1" applyAlignment="1">
      <alignment horizontal="left" vertical="center" indent="3"/>
    </xf>
    <xf numFmtId="0" fontId="32" fillId="0" borderId="4" xfId="0" applyFont="1" applyBorder="1" applyAlignment="1">
      <alignment vertical="center"/>
    </xf>
    <xf numFmtId="0" fontId="32" fillId="0" borderId="38" xfId="0" applyFont="1" applyBorder="1"/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28" fillId="0" borderId="38" xfId="0" applyFont="1" applyBorder="1" applyAlignment="1">
      <alignment horizontal="left" indent="3"/>
    </xf>
    <xf numFmtId="0" fontId="28" fillId="0" borderId="40" xfId="0" applyFont="1" applyBorder="1" applyAlignment="1">
      <alignment horizontal="center" vertical="center"/>
    </xf>
    <xf numFmtId="0" fontId="28" fillId="0" borderId="12" xfId="0" applyFont="1" applyBorder="1"/>
    <xf numFmtId="0" fontId="28" fillId="0" borderId="13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/>
    </xf>
    <xf numFmtId="0" fontId="28" fillId="0" borderId="13" xfId="0" applyFont="1" applyBorder="1" applyAlignment="1">
      <alignment horizontal="center" vertical="center"/>
    </xf>
    <xf numFmtId="0" fontId="28" fillId="0" borderId="22" xfId="0" quotePrefix="1" applyFont="1" applyBorder="1" applyAlignment="1">
      <alignment horizontal="center" vertical="center"/>
    </xf>
    <xf numFmtId="0" fontId="28" fillId="0" borderId="86" xfId="0" applyFont="1" applyBorder="1" applyAlignment="1">
      <alignment horizontal="center" vertical="center"/>
    </xf>
    <xf numFmtId="43" fontId="28" fillId="0" borderId="0" xfId="1" applyFont="1" applyAlignment="1">
      <alignment horizontal="center" vertical="center" wrapText="1"/>
    </xf>
    <xf numFmtId="43" fontId="28" fillId="0" borderId="0" xfId="1" applyFont="1" applyAlignment="1">
      <alignment horizontal="center" vertical="center"/>
    </xf>
    <xf numFmtId="10" fontId="28" fillId="0" borderId="0" xfId="3" applyNumberFormat="1" applyFont="1" applyAlignment="1">
      <alignment horizontal="center" vertical="center" wrapText="1"/>
    </xf>
    <xf numFmtId="44" fontId="30" fillId="0" borderId="87" xfId="2" applyFont="1" applyBorder="1" applyAlignment="1">
      <alignment vertical="center"/>
    </xf>
    <xf numFmtId="43" fontId="30" fillId="0" borderId="88" xfId="0" applyNumberFormat="1" applyFont="1" applyBorder="1" applyAlignment="1">
      <alignment vertical="center"/>
    </xf>
    <xf numFmtId="44" fontId="30" fillId="0" borderId="89" xfId="2" applyFont="1" applyBorder="1" applyAlignment="1">
      <alignment vertical="center"/>
    </xf>
    <xf numFmtId="10" fontId="30" fillId="11" borderId="57" xfId="0" applyNumberFormat="1" applyFont="1" applyFill="1" applyBorder="1" applyAlignment="1">
      <alignment horizontal="center" vertical="center"/>
    </xf>
    <xf numFmtId="43" fontId="28" fillId="11" borderId="57" xfId="0" applyNumberFormat="1" applyFont="1" applyFill="1" applyBorder="1" applyAlignment="1">
      <alignment vertical="center"/>
    </xf>
    <xf numFmtId="44" fontId="28" fillId="0" borderId="95" xfId="2" applyFont="1" applyBorder="1" applyAlignment="1">
      <alignment vertical="center"/>
    </xf>
    <xf numFmtId="44" fontId="28" fillId="0" borderId="94" xfId="2" applyFont="1" applyBorder="1" applyAlignment="1">
      <alignment vertical="center"/>
    </xf>
    <xf numFmtId="0" fontId="28" fillId="0" borderId="92" xfId="0" applyFont="1" applyBorder="1" applyAlignment="1">
      <alignment vertical="center"/>
    </xf>
    <xf numFmtId="0" fontId="29" fillId="12" borderId="99" xfId="0" applyFont="1" applyFill="1" applyBorder="1" applyAlignment="1">
      <alignment horizontal="center" vertical="center"/>
    </xf>
    <xf numFmtId="0" fontId="29" fillId="12" borderId="100" xfId="0" applyFont="1" applyFill="1" applyBorder="1" applyAlignment="1">
      <alignment horizontal="center" vertical="center"/>
    </xf>
    <xf numFmtId="0" fontId="28" fillId="13" borderId="92" xfId="0" applyFont="1" applyFill="1" applyBorder="1" applyAlignment="1">
      <alignment vertical="center"/>
    </xf>
    <xf numFmtId="0" fontId="28" fillId="7" borderId="92" xfId="0" applyFont="1" applyFill="1" applyBorder="1" applyAlignment="1">
      <alignment vertical="center"/>
    </xf>
    <xf numFmtId="0" fontId="28" fillId="0" borderId="98" xfId="0" applyFont="1" applyBorder="1" applyAlignment="1">
      <alignment vertical="center"/>
    </xf>
    <xf numFmtId="44" fontId="28" fillId="0" borderId="101" xfId="2" applyFont="1" applyBorder="1" applyAlignment="1">
      <alignment vertical="center"/>
    </xf>
    <xf numFmtId="0" fontId="28" fillId="13" borderId="93" xfId="0" applyFont="1" applyFill="1" applyBorder="1" applyAlignment="1">
      <alignment vertical="center"/>
    </xf>
    <xf numFmtId="0" fontId="28" fillId="7" borderId="104" xfId="0" applyFont="1" applyFill="1" applyBorder="1" applyAlignment="1">
      <alignment vertical="center"/>
    </xf>
    <xf numFmtId="0" fontId="35" fillId="0" borderId="0" xfId="0" applyFont="1"/>
    <xf numFmtId="10" fontId="36" fillId="0" borderId="90" xfId="3" applyNumberFormat="1" applyFont="1" applyBorder="1" applyAlignment="1">
      <alignment vertical="center"/>
    </xf>
    <xf numFmtId="10" fontId="35" fillId="0" borderId="102" xfId="3" applyNumberFormat="1" applyFont="1" applyBorder="1" applyAlignment="1">
      <alignment horizontal="center" vertical="center"/>
    </xf>
    <xf numFmtId="0" fontId="35" fillId="0" borderId="96" xfId="0" applyFont="1" applyBorder="1" applyAlignment="1">
      <alignment vertical="center"/>
    </xf>
    <xf numFmtId="0" fontId="35" fillId="0" borderId="97" xfId="0" applyFont="1" applyBorder="1" applyAlignment="1">
      <alignment vertical="center"/>
    </xf>
    <xf numFmtId="0" fontId="35" fillId="7" borderId="96" xfId="0" applyFont="1" applyFill="1" applyBorder="1" applyAlignment="1">
      <alignment vertical="center"/>
    </xf>
    <xf numFmtId="0" fontId="35" fillId="7" borderId="105" xfId="0" applyFont="1" applyFill="1" applyBorder="1" applyAlignment="1">
      <alignment vertical="center"/>
    </xf>
    <xf numFmtId="43" fontId="37" fillId="0" borderId="0" xfId="1" applyFont="1"/>
    <xf numFmtId="1" fontId="5" fillId="13" borderId="51" xfId="0" applyNumberFormat="1" applyFont="1" applyFill="1" applyBorder="1" applyAlignment="1">
      <alignment horizontal="center" vertical="center"/>
    </xf>
    <xf numFmtId="0" fontId="7" fillId="13" borderId="51" xfId="4" applyFont="1" applyFill="1" applyBorder="1" applyAlignment="1">
      <alignment vertical="center" wrapText="1"/>
    </xf>
    <xf numFmtId="0" fontId="8" fillId="13" borderId="51" xfId="4" applyFont="1" applyFill="1" applyBorder="1" applyAlignment="1">
      <alignment vertical="center" wrapText="1"/>
    </xf>
    <xf numFmtId="2" fontId="9" fillId="13" borderId="51" xfId="4" applyNumberFormat="1" applyFont="1" applyFill="1" applyBorder="1" applyAlignment="1">
      <alignment horizontal="center" vertical="center"/>
    </xf>
    <xf numFmtId="49" fontId="10" fillId="13" borderId="51" xfId="4" applyNumberFormat="1" applyFont="1" applyFill="1" applyBorder="1" applyAlignment="1">
      <alignment horizontal="center" vertical="center"/>
    </xf>
    <xf numFmtId="0" fontId="7" fillId="13" borderId="51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3" fillId="4" borderId="68" xfId="0" applyFont="1" applyFill="1" applyBorder="1" applyAlignment="1">
      <alignment horizontal="center" vertical="center" wrapText="1"/>
    </xf>
    <xf numFmtId="1" fontId="5" fillId="5" borderId="67" xfId="0" applyNumberFormat="1" applyFont="1" applyFill="1" applyBorder="1" applyAlignment="1">
      <alignment horizontal="center" vertical="center"/>
    </xf>
    <xf numFmtId="165" fontId="11" fillId="13" borderId="68" xfId="1" applyNumberFormat="1" applyFont="1" applyFill="1" applyBorder="1" applyAlignment="1" applyProtection="1">
      <alignment horizontal="center" vertical="center" wrapText="1"/>
    </xf>
    <xf numFmtId="44" fontId="7" fillId="13" borderId="68" xfId="2" applyFont="1" applyFill="1" applyBorder="1" applyAlignment="1" applyProtection="1">
      <alignment horizontal="center" vertical="center" wrapText="1"/>
    </xf>
    <xf numFmtId="0" fontId="13" fillId="3" borderId="67" xfId="0" applyFont="1" applyFill="1" applyBorder="1" applyAlignment="1">
      <alignment horizontal="center" vertical="center" wrapText="1"/>
    </xf>
    <xf numFmtId="165" fontId="13" fillId="3" borderId="68" xfId="2" applyNumberFormat="1" applyFont="1" applyFill="1" applyBorder="1" applyAlignment="1" applyProtection="1">
      <alignment horizontal="center" vertical="center" wrapText="1"/>
    </xf>
    <xf numFmtId="1" fontId="12" fillId="0" borderId="67" xfId="0" applyNumberFormat="1" applyFont="1" applyBorder="1" applyAlignment="1">
      <alignment horizontal="center" vertical="center"/>
    </xf>
    <xf numFmtId="165" fontId="12" fillId="0" borderId="68" xfId="1" applyNumberFormat="1" applyFont="1" applyFill="1" applyBorder="1" applyAlignment="1" applyProtection="1">
      <alignment horizontal="center" vertical="center" wrapText="1"/>
    </xf>
    <xf numFmtId="1" fontId="16" fillId="2" borderId="67" xfId="0" applyNumberFormat="1" applyFont="1" applyFill="1" applyBorder="1" applyAlignment="1">
      <alignment horizontal="center" vertical="center"/>
    </xf>
    <xf numFmtId="165" fontId="16" fillId="2" borderId="68" xfId="1" applyNumberFormat="1" applyFont="1" applyFill="1" applyBorder="1" applyAlignment="1" applyProtection="1">
      <alignment horizontal="center" vertical="center" wrapText="1"/>
    </xf>
    <xf numFmtId="44" fontId="28" fillId="0" borderId="103" xfId="2" applyFont="1" applyBorder="1" applyAlignment="1">
      <alignment vertical="center"/>
    </xf>
    <xf numFmtId="170" fontId="35" fillId="0" borderId="102" xfId="3" applyNumberFormat="1" applyFont="1" applyBorder="1" applyAlignment="1">
      <alignment horizontal="center" vertical="center"/>
    </xf>
    <xf numFmtId="10" fontId="35" fillId="7" borderId="96" xfId="3" applyNumberFormat="1" applyFont="1" applyFill="1" applyBorder="1" applyAlignment="1">
      <alignment horizontal="center" vertical="center"/>
    </xf>
    <xf numFmtId="10" fontId="35" fillId="7" borderId="105" xfId="3" applyNumberFormat="1" applyFont="1" applyFill="1" applyBorder="1" applyAlignment="1">
      <alignment horizontal="center" vertical="center"/>
    </xf>
    <xf numFmtId="170" fontId="35" fillId="7" borderId="105" xfId="3" applyNumberFormat="1" applyFont="1" applyFill="1" applyBorder="1" applyAlignment="1">
      <alignment horizontal="center" vertical="center"/>
    </xf>
    <xf numFmtId="0" fontId="28" fillId="13" borderId="104" xfId="0" applyFont="1" applyFill="1" applyBorder="1" applyAlignment="1">
      <alignment vertical="center"/>
    </xf>
    <xf numFmtId="0" fontId="28" fillId="7" borderId="98" xfId="0" applyFont="1" applyFill="1" applyBorder="1" applyAlignment="1">
      <alignment vertical="center"/>
    </xf>
    <xf numFmtId="0" fontId="35" fillId="7" borderId="97" xfId="0" applyFont="1" applyFill="1" applyBorder="1" applyAlignment="1">
      <alignment vertical="center"/>
    </xf>
    <xf numFmtId="10" fontId="35" fillId="7" borderId="97" xfId="3" applyNumberFormat="1" applyFont="1" applyFill="1" applyBorder="1" applyAlignment="1">
      <alignment horizontal="center" vertical="center"/>
    </xf>
    <xf numFmtId="0" fontId="28" fillId="13" borderId="98" xfId="0" applyFont="1" applyFill="1" applyBorder="1" applyAlignment="1">
      <alignment vertical="center"/>
    </xf>
    <xf numFmtId="44" fontId="28" fillId="7" borderId="98" xfId="0" applyNumberFormat="1" applyFont="1" applyFill="1" applyBorder="1" applyAlignment="1">
      <alignment vertical="center"/>
    </xf>
    <xf numFmtId="0" fontId="28" fillId="0" borderId="26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44" fontId="20" fillId="3" borderId="51" xfId="2" applyFont="1" applyFill="1" applyBorder="1" applyAlignment="1">
      <alignment horizontal="center" vertical="center" wrapText="1"/>
    </xf>
    <xf numFmtId="44" fontId="13" fillId="2" borderId="51" xfId="2" applyFont="1" applyFill="1" applyBorder="1" applyAlignment="1" applyProtection="1">
      <alignment horizontal="center" vertical="center"/>
    </xf>
    <xf numFmtId="44" fontId="15" fillId="0" borderId="51" xfId="2" applyFont="1" applyFill="1" applyBorder="1" applyAlignment="1" applyProtection="1">
      <alignment horizontal="center" vertical="center"/>
    </xf>
    <xf numFmtId="44" fontId="13" fillId="3" borderId="68" xfId="2" applyFont="1" applyFill="1" applyBorder="1" applyAlignment="1" applyProtection="1">
      <alignment horizontal="center" vertical="center" wrapText="1"/>
    </xf>
    <xf numFmtId="44" fontId="16" fillId="2" borderId="68" xfId="2" applyFont="1" applyFill="1" applyBorder="1" applyAlignment="1" applyProtection="1">
      <alignment horizontal="center" vertical="center" wrapText="1"/>
    </xf>
    <xf numFmtId="44" fontId="12" fillId="0" borderId="68" xfId="2" applyFont="1" applyFill="1" applyBorder="1" applyAlignment="1" applyProtection="1">
      <alignment horizontal="center" vertical="center" wrapText="1"/>
    </xf>
    <xf numFmtId="0" fontId="29" fillId="12" borderId="106" xfId="0" applyFont="1" applyFill="1" applyBorder="1" applyAlignment="1">
      <alignment horizontal="center" vertical="center"/>
    </xf>
    <xf numFmtId="44" fontId="30" fillId="11" borderId="107" xfId="2" applyFont="1" applyFill="1" applyBorder="1" applyAlignment="1">
      <alignment vertical="center"/>
    </xf>
    <xf numFmtId="43" fontId="30" fillId="11" borderId="109" xfId="0" applyNumberFormat="1" applyFont="1" applyFill="1" applyBorder="1" applyAlignment="1">
      <alignment vertical="center"/>
    </xf>
    <xf numFmtId="43" fontId="28" fillId="11" borderId="62" xfId="0" applyNumberFormat="1" applyFont="1" applyFill="1" applyBorder="1" applyAlignment="1">
      <alignment vertical="center"/>
    </xf>
    <xf numFmtId="43" fontId="28" fillId="11" borderId="58" xfId="0" applyNumberFormat="1" applyFont="1" applyFill="1" applyBorder="1" applyAlignment="1">
      <alignment vertical="center"/>
    </xf>
    <xf numFmtId="10" fontId="28" fillId="0" borderId="64" xfId="0" applyNumberFormat="1" applyFont="1" applyBorder="1" applyAlignment="1">
      <alignment horizontal="center" vertical="center"/>
    </xf>
    <xf numFmtId="10" fontId="28" fillId="0" borderId="60" xfId="0" applyNumberFormat="1" applyFont="1" applyBorder="1" applyAlignment="1">
      <alignment horizontal="center" vertical="center"/>
    </xf>
    <xf numFmtId="10" fontId="36" fillId="0" borderId="112" xfId="3" applyNumberFormat="1" applyFont="1" applyBorder="1" applyAlignment="1">
      <alignment vertical="center"/>
    </xf>
    <xf numFmtId="10" fontId="35" fillId="0" borderId="113" xfId="3" applyNumberFormat="1" applyFont="1" applyBorder="1" applyAlignment="1">
      <alignment horizontal="center" vertical="center"/>
    </xf>
    <xf numFmtId="10" fontId="35" fillId="7" borderId="114" xfId="3" applyNumberFormat="1" applyFont="1" applyFill="1" applyBorder="1" applyAlignment="1">
      <alignment horizontal="center" vertical="center"/>
    </xf>
    <xf numFmtId="10" fontId="35" fillId="7" borderId="115" xfId="3" applyNumberFormat="1" applyFont="1" applyFill="1" applyBorder="1" applyAlignment="1">
      <alignment horizontal="center" vertical="center"/>
    </xf>
    <xf numFmtId="10" fontId="35" fillId="7" borderId="116" xfId="3" applyNumberFormat="1" applyFont="1" applyFill="1" applyBorder="1" applyAlignment="1">
      <alignment horizontal="center" vertical="center"/>
    </xf>
    <xf numFmtId="10" fontId="28" fillId="0" borderId="117" xfId="3" applyNumberFormat="1" applyFont="1" applyBorder="1" applyAlignment="1">
      <alignment horizontal="center" vertical="center"/>
    </xf>
    <xf numFmtId="10" fontId="28" fillId="0" borderId="52" xfId="3" applyNumberFormat="1" applyFont="1" applyBorder="1" applyAlignment="1">
      <alignment horizontal="center" vertical="center"/>
    </xf>
    <xf numFmtId="10" fontId="28" fillId="0" borderId="61" xfId="3" applyNumberFormat="1" applyFont="1" applyBorder="1" applyAlignment="1">
      <alignment horizontal="center" vertical="center"/>
    </xf>
    <xf numFmtId="43" fontId="28" fillId="11" borderId="64" xfId="0" applyNumberFormat="1" applyFont="1" applyFill="1" applyBorder="1" applyAlignment="1">
      <alignment vertical="center"/>
    </xf>
    <xf numFmtId="43" fontId="28" fillId="11" borderId="59" xfId="0" applyNumberFormat="1" applyFont="1" applyFill="1" applyBorder="1" applyAlignment="1">
      <alignment vertical="center"/>
    </xf>
    <xf numFmtId="43" fontId="28" fillId="11" borderId="60" xfId="0" applyNumberFormat="1" applyFont="1" applyFill="1" applyBorder="1" applyAlignment="1">
      <alignment vertical="center"/>
    </xf>
    <xf numFmtId="10" fontId="30" fillId="0" borderId="110" xfId="3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/>
    <xf numFmtId="164" fontId="3" fillId="3" borderId="51" xfId="0" applyNumberFormat="1" applyFont="1" applyFill="1" applyBorder="1" applyAlignment="1">
      <alignment horizontal="center" vertical="center" wrapText="1"/>
    </xf>
    <xf numFmtId="164" fontId="3" fillId="3" borderId="68" xfId="0" applyNumberFormat="1" applyFont="1" applyFill="1" applyBorder="1" applyAlignment="1">
      <alignment horizontal="center" vertical="center" wrapText="1"/>
    </xf>
    <xf numFmtId="165" fontId="21" fillId="7" borderId="59" xfId="1" applyNumberFormat="1" applyFont="1" applyFill="1" applyBorder="1" applyAlignment="1" applyProtection="1">
      <alignment horizontal="center" vertical="center"/>
    </xf>
    <xf numFmtId="165" fontId="21" fillId="7" borderId="60" xfId="1" applyNumberFormat="1" applyFont="1" applyFill="1" applyBorder="1" applyAlignment="1" applyProtection="1">
      <alignment horizontal="center" vertical="center"/>
    </xf>
    <xf numFmtId="0" fontId="4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21" fillId="7" borderId="64" xfId="0" applyFont="1" applyFill="1" applyBorder="1" applyAlignment="1">
      <alignment horizontal="center" vertical="center"/>
    </xf>
    <xf numFmtId="0" fontId="21" fillId="7" borderId="59" xfId="0" applyFont="1" applyFill="1" applyBorder="1" applyAlignment="1">
      <alignment horizontal="center" vertical="center"/>
    </xf>
    <xf numFmtId="0" fontId="7" fillId="13" borderId="67" xfId="0" applyFont="1" applyFill="1" applyBorder="1" applyAlignment="1">
      <alignment horizontal="center" vertical="center" wrapText="1"/>
    </xf>
    <xf numFmtId="0" fontId="7" fillId="13" borderId="51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28" fillId="11" borderId="64" xfId="0" applyFont="1" applyFill="1" applyBorder="1" applyAlignment="1">
      <alignment horizontal="right" vertical="center"/>
    </xf>
    <xf numFmtId="0" fontId="28" fillId="11" borderId="59" xfId="0" applyFont="1" applyFill="1" applyBorder="1" applyAlignment="1">
      <alignment horizontal="right" vertical="center"/>
    </xf>
    <xf numFmtId="0" fontId="28" fillId="11" borderId="108" xfId="0" applyFont="1" applyFill="1" applyBorder="1" applyAlignment="1">
      <alignment horizontal="right" vertical="center"/>
    </xf>
    <xf numFmtId="0" fontId="28" fillId="0" borderId="117" xfId="0" applyFont="1" applyBorder="1" applyAlignment="1">
      <alignment horizontal="right" vertical="center"/>
    </xf>
    <xf numFmtId="0" fontId="28" fillId="0" borderId="52" xfId="0" applyFont="1" applyBorder="1" applyAlignment="1">
      <alignment horizontal="right" vertical="center"/>
    </xf>
    <xf numFmtId="0" fontId="28" fillId="0" borderId="118" xfId="0" applyFont="1" applyBorder="1" applyAlignment="1">
      <alignment horizontal="right" vertical="center"/>
    </xf>
    <xf numFmtId="0" fontId="27" fillId="0" borderId="0" xfId="0" applyFont="1" applyAlignment="1">
      <alignment horizontal="center"/>
    </xf>
    <xf numFmtId="0" fontId="28" fillId="0" borderId="65" xfId="0" applyFont="1" applyBorder="1" applyAlignment="1">
      <alignment horizontal="left" vertical="center" wrapText="1" indent="1"/>
    </xf>
    <xf numFmtId="0" fontId="28" fillId="0" borderId="91" xfId="0" applyFont="1" applyBorder="1" applyAlignment="1">
      <alignment horizontal="left" vertical="center" wrapText="1" indent="1"/>
    </xf>
    <xf numFmtId="0" fontId="28" fillId="0" borderId="63" xfId="0" applyFont="1" applyBorder="1" applyAlignment="1">
      <alignment horizontal="left" vertical="center" wrapText="1" indent="1"/>
    </xf>
    <xf numFmtId="10" fontId="28" fillId="0" borderId="87" xfId="3" applyNumberFormat="1" applyFont="1" applyBorder="1" applyAlignment="1">
      <alignment horizontal="center" vertical="center"/>
    </xf>
    <xf numFmtId="10" fontId="28" fillId="0" borderId="88" xfId="3" applyNumberFormat="1" applyFont="1" applyBorder="1" applyAlignment="1">
      <alignment horizontal="center" vertical="center"/>
    </xf>
    <xf numFmtId="10" fontId="28" fillId="0" borderId="90" xfId="3" applyNumberFormat="1" applyFont="1" applyBorder="1" applyAlignment="1">
      <alignment horizontal="center" vertical="center"/>
    </xf>
    <xf numFmtId="0" fontId="30" fillId="0" borderId="119" xfId="0" applyFont="1" applyBorder="1" applyAlignment="1">
      <alignment horizontal="center" vertical="center"/>
    </xf>
    <xf numFmtId="0" fontId="30" fillId="0" borderId="110" xfId="0" applyFont="1" applyBorder="1" applyAlignment="1">
      <alignment horizontal="center" vertical="center"/>
    </xf>
    <xf numFmtId="0" fontId="28" fillId="0" borderId="64" xfId="0" applyFont="1" applyBorder="1" applyAlignment="1">
      <alignment horizontal="right" vertical="center"/>
    </xf>
    <xf numFmtId="0" fontId="28" fillId="0" borderId="59" xfId="0" applyFont="1" applyBorder="1" applyAlignment="1">
      <alignment horizontal="right" vertical="center"/>
    </xf>
    <xf numFmtId="0" fontId="28" fillId="0" borderId="108" xfId="0" applyFont="1" applyBorder="1" applyAlignment="1">
      <alignment horizontal="right" vertical="center"/>
    </xf>
    <xf numFmtId="0" fontId="28" fillId="0" borderId="111" xfId="0" applyFont="1" applyBorder="1" applyAlignment="1">
      <alignment horizontal="left" vertical="center" wrapText="1" indent="1"/>
    </xf>
    <xf numFmtId="10" fontId="28" fillId="0" borderId="112" xfId="3" applyNumberFormat="1" applyFont="1" applyBorder="1" applyAlignment="1">
      <alignment horizontal="center" vertical="center"/>
    </xf>
    <xf numFmtId="168" fontId="6" fillId="0" borderId="0" xfId="6" applyNumberFormat="1" applyAlignment="1">
      <alignment horizontal="center" vertical="center" wrapText="1"/>
    </xf>
    <xf numFmtId="168" fontId="6" fillId="0" borderId="0" xfId="6" applyNumberFormat="1" applyAlignment="1">
      <alignment horizontal="left" vertical="center" wrapText="1"/>
    </xf>
    <xf numFmtId="167" fontId="6" fillId="0" borderId="0" xfId="6" applyNumberFormat="1" applyAlignment="1">
      <alignment horizontal="center" vertical="center"/>
    </xf>
    <xf numFmtId="168" fontId="6" fillId="0" borderId="0" xfId="6" applyNumberForma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9" fillId="12" borderId="3" xfId="0" applyFont="1" applyFill="1" applyBorder="1" applyAlignment="1">
      <alignment horizontal="center" vertical="center"/>
    </xf>
    <xf numFmtId="0" fontId="29" fillId="12" borderId="4" xfId="0" applyFont="1" applyFill="1" applyBorder="1" applyAlignment="1">
      <alignment horizontal="center" vertical="center"/>
    </xf>
    <xf numFmtId="0" fontId="29" fillId="12" borderId="84" xfId="0" applyFont="1" applyFill="1" applyBorder="1" applyAlignment="1">
      <alignment horizontal="center" vertical="center"/>
    </xf>
    <xf numFmtId="0" fontId="29" fillId="12" borderId="8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16" fillId="9" borderId="38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vertical="center" wrapText="1"/>
    </xf>
    <xf numFmtId="0" fontId="18" fillId="9" borderId="41" xfId="0" applyFont="1" applyFill="1" applyBorder="1" applyAlignment="1">
      <alignment vertical="center" wrapText="1"/>
    </xf>
    <xf numFmtId="0" fontId="18" fillId="9" borderId="45" xfId="0" applyFont="1" applyFill="1" applyBorder="1" applyAlignment="1">
      <alignment vertical="center" wrapText="1"/>
    </xf>
    <xf numFmtId="0" fontId="18" fillId="9" borderId="28" xfId="0" applyFont="1" applyFill="1" applyBorder="1" applyAlignment="1">
      <alignment vertical="center" wrapText="1"/>
    </xf>
    <xf numFmtId="0" fontId="18" fillId="9" borderId="46" xfId="0" applyFont="1" applyFill="1" applyBorder="1" applyAlignment="1">
      <alignment vertical="center" wrapText="1"/>
    </xf>
    <xf numFmtId="0" fontId="18" fillId="9" borderId="47" xfId="0" applyFont="1" applyFill="1" applyBorder="1" applyAlignment="1">
      <alignment vertical="center" wrapText="1"/>
    </xf>
    <xf numFmtId="0" fontId="7" fillId="5" borderId="11" xfId="4" applyFont="1" applyFill="1" applyBorder="1" applyAlignment="1">
      <alignment horizontal="center" vertical="center" wrapText="1"/>
    </xf>
    <xf numFmtId="0" fontId="7" fillId="5" borderId="13" xfId="4" applyFont="1" applyFill="1" applyBorder="1" applyAlignment="1">
      <alignment horizontal="center" vertical="center" wrapText="1"/>
    </xf>
    <xf numFmtId="0" fontId="7" fillId="5" borderId="48" xfId="4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44" xfId="0" applyFont="1" applyFill="1" applyBorder="1" applyAlignment="1">
      <alignment horizontal="left" vertical="center" wrapText="1"/>
    </xf>
    <xf numFmtId="0" fontId="18" fillId="9" borderId="2" xfId="0" applyFont="1" applyFill="1" applyBorder="1" applyAlignment="1">
      <alignment vertical="center" wrapText="1"/>
    </xf>
    <xf numFmtId="0" fontId="18" fillId="9" borderId="8" xfId="0" applyFont="1" applyFill="1" applyBorder="1" applyAlignment="1">
      <alignment vertical="center" wrapText="1"/>
    </xf>
    <xf numFmtId="0" fontId="18" fillId="9" borderId="50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</cellXfs>
  <cellStyles count="7">
    <cellStyle name="Moeda" xfId="2" builtinId="4"/>
    <cellStyle name="Normal" xfId="0" builtinId="0"/>
    <cellStyle name="Normal 2" xfId="4" xr:uid="{F8165234-84B4-47BB-B7ED-B631E50D0221}"/>
    <cellStyle name="Normal 3" xfId="6" xr:uid="{0A1556EF-014B-42DE-98E1-6DCFEEB05B38}"/>
    <cellStyle name="Porcentagem" xfId="3" builtinId="5"/>
    <cellStyle name="Vírgula" xfId="1" builtinId="3"/>
    <cellStyle name="Vírgula 3" xfId="5" xr:uid="{481D3E54-39EA-4B31-84B1-B6F8A2B13C99}"/>
  </cellStyles>
  <dxfs count="2">
    <dxf>
      <font>
        <b/>
        <i val="0"/>
      </font>
      <fill>
        <patternFill>
          <bgColor rgb="FF29FF8A"/>
        </patternFill>
      </fill>
    </dxf>
    <dxf>
      <font>
        <b/>
        <i val="0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0000"/>
      <color rgb="FF29FF8A"/>
      <color rgb="FF00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68580</xdr:rowOff>
    </xdr:from>
    <xdr:to>
      <xdr:col>1</xdr:col>
      <xdr:colOff>2217420</xdr:colOff>
      <xdr:row>4</xdr:row>
      <xdr:rowOff>144780</xdr:rowOff>
    </xdr:to>
    <xdr:grpSp>
      <xdr:nvGrpSpPr>
        <xdr:cNvPr id="2" name="Grupo 3">
          <a:extLst>
            <a:ext uri="{FF2B5EF4-FFF2-40B4-BE49-F238E27FC236}">
              <a16:creationId xmlns:a16="http://schemas.microsoft.com/office/drawing/2014/main" id="{F832E0D5-0032-4A43-ACE1-E77455A29B95}"/>
            </a:ext>
          </a:extLst>
        </xdr:cNvPr>
        <xdr:cNvGrpSpPr>
          <a:grpSpLocks/>
        </xdr:cNvGrpSpPr>
      </xdr:nvGrpSpPr>
      <xdr:grpSpPr bwMode="auto">
        <a:xfrm>
          <a:off x="0" y="68580"/>
          <a:ext cx="2626995" cy="723900"/>
          <a:chOff x="-49" y="-257"/>
          <a:chExt cx="4035" cy="1147"/>
        </a:xfrm>
      </xdr:grpSpPr>
      <xdr:sp macro="" textlink="">
        <xdr:nvSpPr>
          <xdr:cNvPr id="3" name="Caixa de Texto 2">
            <a:extLst>
              <a:ext uri="{FF2B5EF4-FFF2-40B4-BE49-F238E27FC236}">
                <a16:creationId xmlns:a16="http://schemas.microsoft.com/office/drawing/2014/main" id="{33E43987-B2DC-555B-2AA9-A4CE707EB279}"/>
              </a:ext>
            </a:extLst>
          </xdr:cNvPr>
          <xdr:cNvSpPr txBox="1"/>
        </xdr:nvSpPr>
        <xdr:spPr>
          <a:xfrm>
            <a:off x="-2" y="-257"/>
            <a:ext cx="3837" cy="1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pt-BR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pt-BR" altLang="en-US" sz="3200" b="1" i="1">
                <a:latin typeface="Arial" panose="020B0604020202020204" pitchFamily="7" charset="0"/>
                <a:cs typeface="Arial" panose="020B0604020202020204" pitchFamily="7" charset="0"/>
              </a:rPr>
              <a:t>AF2 </a:t>
            </a:r>
          </a:p>
        </xdr:txBody>
      </xdr:sp>
      <xdr:sp macro="" textlink="">
        <xdr:nvSpPr>
          <xdr:cNvPr id="4" name="Caixa de Texto 3">
            <a:extLst>
              <a:ext uri="{FF2B5EF4-FFF2-40B4-BE49-F238E27FC236}">
                <a16:creationId xmlns:a16="http://schemas.microsoft.com/office/drawing/2014/main" id="{84F9B3D0-F3D0-F42F-3626-2140A4447554}"/>
              </a:ext>
            </a:extLst>
          </xdr:cNvPr>
          <xdr:cNvSpPr txBox="1"/>
        </xdr:nvSpPr>
        <xdr:spPr>
          <a:xfrm>
            <a:off x="-49" y="363"/>
            <a:ext cx="4035" cy="5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pt-BR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pt-BR" altLang="en-US" sz="1000" i="1"/>
              <a:t>ENGENHARIA E SERVIÇOS LTDA</a:t>
            </a:r>
            <a:endParaRPr lang="pt-BR" altLang="en-US" sz="2400"/>
          </a:p>
          <a:p>
            <a:pPr algn="l"/>
            <a:endParaRPr lang="pt-BR" altLang="en-US" sz="24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68580</xdr:rowOff>
    </xdr:from>
    <xdr:to>
      <xdr:col>1</xdr:col>
      <xdr:colOff>2217420</xdr:colOff>
      <xdr:row>4</xdr:row>
      <xdr:rowOff>144780</xdr:rowOff>
    </xdr:to>
    <xdr:grpSp>
      <xdr:nvGrpSpPr>
        <xdr:cNvPr id="2" name="Grupo 3">
          <a:extLst>
            <a:ext uri="{FF2B5EF4-FFF2-40B4-BE49-F238E27FC236}">
              <a16:creationId xmlns:a16="http://schemas.microsoft.com/office/drawing/2014/main" id="{AC860410-49B6-487F-B086-C7582A87EFAE}"/>
            </a:ext>
          </a:extLst>
        </xdr:cNvPr>
        <xdr:cNvGrpSpPr>
          <a:grpSpLocks/>
        </xdr:cNvGrpSpPr>
      </xdr:nvGrpSpPr>
      <xdr:grpSpPr bwMode="auto">
        <a:xfrm>
          <a:off x="0" y="68580"/>
          <a:ext cx="2626995" cy="723900"/>
          <a:chOff x="-49" y="-257"/>
          <a:chExt cx="4035" cy="1147"/>
        </a:xfrm>
      </xdr:grpSpPr>
      <xdr:sp macro="" textlink="">
        <xdr:nvSpPr>
          <xdr:cNvPr id="3" name="Caixa de Texto 2">
            <a:extLst>
              <a:ext uri="{FF2B5EF4-FFF2-40B4-BE49-F238E27FC236}">
                <a16:creationId xmlns:a16="http://schemas.microsoft.com/office/drawing/2014/main" id="{1AE7241C-0150-B93A-01F5-9FEF6E0B8E22}"/>
              </a:ext>
            </a:extLst>
          </xdr:cNvPr>
          <xdr:cNvSpPr txBox="1"/>
        </xdr:nvSpPr>
        <xdr:spPr>
          <a:xfrm>
            <a:off x="-2" y="-257"/>
            <a:ext cx="3837" cy="1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pt-BR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pt-BR" altLang="en-US" sz="3200" b="1" i="1">
                <a:latin typeface="Arial" panose="020B0604020202020204" pitchFamily="7" charset="0"/>
                <a:cs typeface="Arial" panose="020B0604020202020204" pitchFamily="7" charset="0"/>
              </a:rPr>
              <a:t>AF2 </a:t>
            </a:r>
          </a:p>
        </xdr:txBody>
      </xdr:sp>
      <xdr:sp macro="" textlink="">
        <xdr:nvSpPr>
          <xdr:cNvPr id="4" name="Caixa de Texto 3">
            <a:extLst>
              <a:ext uri="{FF2B5EF4-FFF2-40B4-BE49-F238E27FC236}">
                <a16:creationId xmlns:a16="http://schemas.microsoft.com/office/drawing/2014/main" id="{E6C4C179-C355-815F-BA2D-09878DB1AFDE}"/>
              </a:ext>
            </a:extLst>
          </xdr:cNvPr>
          <xdr:cNvSpPr txBox="1"/>
        </xdr:nvSpPr>
        <xdr:spPr>
          <a:xfrm>
            <a:off x="-49" y="363"/>
            <a:ext cx="4035" cy="5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pt-BR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pt-BR" altLang="en-US" sz="1000" i="1"/>
              <a:t>ENGENHARIA E SERVIÇOS LTDA</a:t>
            </a:r>
            <a:endParaRPr lang="pt-BR" altLang="en-US" sz="2400"/>
          </a:p>
          <a:p>
            <a:pPr algn="l"/>
            <a:endParaRPr lang="pt-BR" altLang="en-US" sz="24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01%20-%20OR&#199;AMENTOS%20CLIENTES%20PRIVADO\PROPOSTAS%20E%20OR&#199;AMENTOS_2025\000_2025%20-%20LISBOA\PROJETOS%20-%20LISBOA%20II%20-%20ITAPETININGA\HISTOGRAMA_LISBOA-FASE%20II%20-%20rev.01.xlsx" TargetMode="External"/><Relationship Id="rId1" Type="http://schemas.openxmlformats.org/officeDocument/2006/relationships/externalLinkPath" Target="file:///Y:\001%20-%20OR&#199;AMENTOS%20CLIENTES%20PRIVADO\PROPOSTAS%20E%20OR&#199;AMENTOS_2025\000_2025%20-%20LISBOA\PROJETOS%20-%20LISBOA%20II%20-%20ITAPETININGA\HISTOGRAMA_LISBOA-FASE%20II%20-%20rev.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ERSOS\HISTOGRAMA_LISBOA-FASE%20II%20-%20rev.01.xlsx" TargetMode="External"/><Relationship Id="rId1" Type="http://schemas.openxmlformats.org/officeDocument/2006/relationships/externalLinkPath" Target="file:///Z:\DIVERSOS\HISTOGRAMA_LISBOA-FASE%20II%20-%20rev.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Marielen\Desktop\OR&#199;AMENTOS\Lisboa%20II\091-24-SND%20-%20KM%20Servi&#231;os%20-%20Obra%20Itapetinin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Orçamento"/>
      <sheetName val="MAPA REV0"/>
      <sheetName val="CRONOGRAM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Orçamento"/>
      <sheetName val="MAPA REV0"/>
      <sheetName val="CRONOGRAMA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</sheetNames>
    <sheetDataSet>
      <sheetData sheetId="0">
        <row r="29">
          <cell r="G29">
            <v>30.5</v>
          </cell>
        </row>
        <row r="30">
          <cell r="G30">
            <v>12</v>
          </cell>
        </row>
        <row r="31">
          <cell r="G31">
            <v>585.34</v>
          </cell>
        </row>
        <row r="32">
          <cell r="G32">
            <v>506.5</v>
          </cell>
        </row>
        <row r="33">
          <cell r="G33">
            <v>417.1</v>
          </cell>
        </row>
        <row r="34">
          <cell r="G34">
            <v>233.87</v>
          </cell>
        </row>
        <row r="36">
          <cell r="G36">
            <v>3221.23</v>
          </cell>
        </row>
        <row r="37">
          <cell r="G37">
            <v>640.54</v>
          </cell>
        </row>
        <row r="38">
          <cell r="G38">
            <v>801.9</v>
          </cell>
        </row>
        <row r="39">
          <cell r="G39">
            <v>417.1</v>
          </cell>
        </row>
        <row r="40">
          <cell r="G40">
            <v>454.28</v>
          </cell>
        </row>
        <row r="41">
          <cell r="G41">
            <v>399.1</v>
          </cell>
        </row>
        <row r="42">
          <cell r="G42">
            <v>266.06</v>
          </cell>
        </row>
        <row r="43">
          <cell r="G43">
            <v>491.57</v>
          </cell>
        </row>
        <row r="44">
          <cell r="G44">
            <v>268.13</v>
          </cell>
        </row>
        <row r="45">
          <cell r="G45">
            <v>208.61</v>
          </cell>
        </row>
        <row r="46">
          <cell r="G46">
            <v>129.19999999999999</v>
          </cell>
        </row>
        <row r="47">
          <cell r="G47">
            <v>36</v>
          </cell>
        </row>
        <row r="48">
          <cell r="G48">
            <v>24.8</v>
          </cell>
        </row>
        <row r="49">
          <cell r="G49">
            <v>128.75</v>
          </cell>
        </row>
        <row r="50">
          <cell r="G50">
            <v>13.2</v>
          </cell>
        </row>
        <row r="51">
          <cell r="G51">
            <v>10.18</v>
          </cell>
        </row>
        <row r="52">
          <cell r="G52">
            <v>25.8</v>
          </cell>
        </row>
        <row r="53">
          <cell r="G53">
            <v>655.36</v>
          </cell>
        </row>
        <row r="54">
          <cell r="G54">
            <v>6235</v>
          </cell>
        </row>
        <row r="56">
          <cell r="G56">
            <v>693.55</v>
          </cell>
        </row>
        <row r="57">
          <cell r="G57">
            <v>395.25</v>
          </cell>
        </row>
        <row r="58">
          <cell r="G58">
            <v>211.2</v>
          </cell>
        </row>
        <row r="59">
          <cell r="G59">
            <v>125.4</v>
          </cell>
        </row>
        <row r="60">
          <cell r="G60">
            <v>62.48</v>
          </cell>
        </row>
        <row r="67">
          <cell r="G67">
            <v>192.17</v>
          </cell>
        </row>
        <row r="68">
          <cell r="G68">
            <v>330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EDF3-1B60-43E5-86B4-5CFA4CB51F6C}">
  <sheetPr>
    <pageSetUpPr fitToPage="1"/>
  </sheetPr>
  <dimension ref="A1:Q78"/>
  <sheetViews>
    <sheetView showGridLines="0" tabSelected="1" view="pageBreakPreview" topLeftCell="B1" zoomScale="60" zoomScaleNormal="70" workbookViewId="0">
      <pane xSplit="2" ySplit="3" topLeftCell="D4" activePane="bottomRight" state="frozen"/>
      <selection activeCell="B49" sqref="B49"/>
      <selection pane="topRight" activeCell="B49" sqref="B49"/>
      <selection pane="bottomLeft" activeCell="B49" sqref="B49"/>
      <selection pane="bottomRight" activeCell="C68" sqref="C68"/>
    </sheetView>
  </sheetViews>
  <sheetFormatPr defaultRowHeight="15" x14ac:dyDescent="0.25"/>
  <cols>
    <col min="1" max="1" width="7.85546875" customWidth="1"/>
    <col min="2" max="2" width="8.85546875" customWidth="1"/>
    <col min="3" max="3" width="93.7109375" customWidth="1"/>
    <col min="4" max="4" width="18.5703125" customWidth="1"/>
    <col min="5" max="5" width="8.85546875" customWidth="1"/>
    <col min="6" max="6" width="19.85546875" customWidth="1"/>
    <col min="7" max="7" width="23.42578125" customWidth="1"/>
    <col min="8" max="8" width="8.85546875" style="74"/>
    <col min="9" max="9" width="13.7109375" style="74" bestFit="1" customWidth="1"/>
    <col min="10" max="13" width="11.7109375" style="118" customWidth="1"/>
    <col min="14" max="14" width="12.28515625" style="118" bestFit="1" customWidth="1"/>
    <col min="15" max="15" width="10" style="74" bestFit="1" customWidth="1"/>
    <col min="16" max="16" width="13.7109375" style="74" bestFit="1" customWidth="1"/>
    <col min="17" max="17" width="8.85546875" style="74"/>
  </cols>
  <sheetData>
    <row r="1" spans="1:14" ht="40.15" customHeight="1" thickTop="1" x14ac:dyDescent="0.25">
      <c r="A1" s="296" t="s">
        <v>0</v>
      </c>
      <c r="B1" s="300"/>
      <c r="C1" s="298" t="s">
        <v>1</v>
      </c>
      <c r="D1" s="235">
        <v>5</v>
      </c>
      <c r="E1" s="290" t="s">
        <v>91</v>
      </c>
      <c r="F1" s="290"/>
      <c r="G1" s="291"/>
      <c r="I1" s="74">
        <f>E2-I2</f>
        <v>-4.0217190980911255E-3</v>
      </c>
    </row>
    <row r="2" spans="1:14" ht="15.6" customHeight="1" x14ac:dyDescent="0.25">
      <c r="A2" s="297"/>
      <c r="B2" s="301"/>
      <c r="C2" s="299"/>
      <c r="D2" s="71"/>
      <c r="E2" s="286">
        <f>G6+G10+G14+G30+G52+G62+G65+G72</f>
        <v>7889879.9959782809</v>
      </c>
      <c r="F2" s="286"/>
      <c r="G2" s="287"/>
      <c r="I2" s="74">
        <v>7889880</v>
      </c>
      <c r="J2" s="118">
        <v>1.4</v>
      </c>
      <c r="K2" s="121">
        <f>1-1/J2</f>
        <v>0.2857142857142857</v>
      </c>
      <c r="L2" s="121">
        <v>9.5000000000000001E-2</v>
      </c>
      <c r="M2" s="121"/>
      <c r="N2" s="121">
        <f>K2-L2-M2</f>
        <v>0.1907142857142857</v>
      </c>
    </row>
    <row r="3" spans="1:14" ht="15.6" customHeight="1" x14ac:dyDescent="0.25">
      <c r="A3" s="297"/>
      <c r="B3" s="302"/>
      <c r="C3" s="299"/>
      <c r="D3" s="72" t="s">
        <v>2</v>
      </c>
      <c r="E3" s="73" t="s">
        <v>3</v>
      </c>
      <c r="F3" s="72" t="s">
        <v>4</v>
      </c>
      <c r="G3" s="236" t="s">
        <v>5</v>
      </c>
      <c r="I3" s="74" t="s">
        <v>4</v>
      </c>
    </row>
    <row r="4" spans="1:14" ht="22.15" hidden="1" customHeight="1" x14ac:dyDescent="0.25">
      <c r="A4" s="237"/>
      <c r="B4" s="229"/>
      <c r="C4" s="230"/>
      <c r="D4" s="231"/>
      <c r="E4" s="232"/>
      <c r="F4" s="233"/>
      <c r="G4" s="238"/>
    </row>
    <row r="5" spans="1:14" ht="30" customHeight="1" x14ac:dyDescent="0.25">
      <c r="A5" s="294" t="s">
        <v>169</v>
      </c>
      <c r="B5" s="295"/>
      <c r="C5" s="295"/>
      <c r="D5" s="234"/>
      <c r="E5" s="234"/>
      <c r="F5" s="234"/>
      <c r="G5" s="239"/>
      <c r="I5" s="228">
        <v>0.9</v>
      </c>
    </row>
    <row r="6" spans="1:14" ht="22.9" customHeight="1" x14ac:dyDescent="0.25">
      <c r="A6" s="240">
        <v>1</v>
      </c>
      <c r="B6" s="75">
        <v>1</v>
      </c>
      <c r="C6" s="76" t="s">
        <v>88</v>
      </c>
      <c r="D6" s="77"/>
      <c r="E6" s="77"/>
      <c r="F6" s="77"/>
      <c r="G6" s="241">
        <f>SUBTOTAL(9,G7:G9)</f>
        <v>0</v>
      </c>
      <c r="I6" s="228">
        <v>1.01</v>
      </c>
    </row>
    <row r="7" spans="1:14" ht="15.75" x14ac:dyDescent="0.25">
      <c r="A7" s="242" t="s">
        <v>7</v>
      </c>
      <c r="B7" s="61" t="s">
        <v>7</v>
      </c>
      <c r="C7" s="70" t="s">
        <v>103</v>
      </c>
      <c r="D7" s="62"/>
      <c r="E7" s="63" t="s">
        <v>168</v>
      </c>
      <c r="F7" s="64">
        <f>I7</f>
        <v>12000</v>
      </c>
      <c r="G7" s="243">
        <f>(F7*D7)</f>
        <v>0</v>
      </c>
      <c r="I7" s="228">
        <v>12000</v>
      </c>
      <c r="J7" s="119"/>
      <c r="K7" s="119"/>
      <c r="L7" s="119">
        <f>F7/$J$2</f>
        <v>8571.4285714285725</v>
      </c>
      <c r="M7" s="118">
        <f t="shared" ref="M7:M56" si="0">SUM(J7:L7)</f>
        <v>8571.4285714285725</v>
      </c>
      <c r="N7" s="118">
        <f t="shared" ref="N7:N56" si="1">M7*$J$2</f>
        <v>12000</v>
      </c>
    </row>
    <row r="8" spans="1:14" ht="15.75" x14ac:dyDescent="0.25">
      <c r="A8" s="242" t="s">
        <v>9</v>
      </c>
      <c r="B8" s="61" t="s">
        <v>9</v>
      </c>
      <c r="C8" s="70" t="s">
        <v>104</v>
      </c>
      <c r="D8" s="62"/>
      <c r="E8" s="63" t="s">
        <v>11</v>
      </c>
      <c r="F8" s="64">
        <f>I8</f>
        <v>460</v>
      </c>
      <c r="G8" s="243">
        <f>(F8*D8)</f>
        <v>0</v>
      </c>
      <c r="I8" s="228">
        <v>460</v>
      </c>
      <c r="J8" s="119"/>
      <c r="K8" s="119"/>
      <c r="L8" s="119">
        <f>F8/$J$2</f>
        <v>328.57142857142861</v>
      </c>
      <c r="M8" s="118">
        <f t="shared" si="0"/>
        <v>328.57142857142861</v>
      </c>
      <c r="N8" s="118">
        <f t="shared" si="1"/>
        <v>460</v>
      </c>
    </row>
    <row r="9" spans="1:14" ht="15.75" x14ac:dyDescent="0.25">
      <c r="A9" s="242" t="s">
        <v>12</v>
      </c>
      <c r="B9" s="61" t="s">
        <v>12</v>
      </c>
      <c r="C9" s="70" t="s">
        <v>105</v>
      </c>
      <c r="D9" s="62"/>
      <c r="E9" s="63"/>
      <c r="F9" s="64"/>
      <c r="G9" s="243">
        <f>(F9*D9)</f>
        <v>0</v>
      </c>
      <c r="I9" s="228"/>
      <c r="J9" s="119"/>
      <c r="K9" s="119"/>
      <c r="L9" s="119">
        <f>F9/$J$2</f>
        <v>0</v>
      </c>
      <c r="M9" s="118">
        <f t="shared" si="0"/>
        <v>0</v>
      </c>
      <c r="N9" s="118">
        <f t="shared" si="1"/>
        <v>0</v>
      </c>
    </row>
    <row r="10" spans="1:14" ht="22.9" customHeight="1" x14ac:dyDescent="0.25">
      <c r="A10" s="240">
        <v>1</v>
      </c>
      <c r="B10" s="75">
        <v>2</v>
      </c>
      <c r="C10" s="76" t="s">
        <v>6</v>
      </c>
      <c r="D10" s="77"/>
      <c r="E10" s="77"/>
      <c r="F10" s="77"/>
      <c r="G10" s="241">
        <f>SUBTOTAL(9,G11:G13)</f>
        <v>703505.93590799998</v>
      </c>
      <c r="I10" s="228">
        <v>0.98</v>
      </c>
      <c r="J10" s="119"/>
      <c r="K10" s="119"/>
      <c r="L10" s="119"/>
      <c r="M10" s="118">
        <f t="shared" si="0"/>
        <v>0</v>
      </c>
      <c r="N10" s="118">
        <f t="shared" si="1"/>
        <v>0</v>
      </c>
    </row>
    <row r="11" spans="1:14" ht="19.899999999999999" customHeight="1" x14ac:dyDescent="0.25">
      <c r="A11" s="242" t="s">
        <v>7</v>
      </c>
      <c r="B11" s="61" t="s">
        <v>16</v>
      </c>
      <c r="C11" s="70" t="s">
        <v>10</v>
      </c>
      <c r="D11" s="62">
        <v>39676.239999999998</v>
      </c>
      <c r="E11" s="63" t="s">
        <v>11</v>
      </c>
      <c r="F11" s="64">
        <f>I11*$I$5</f>
        <v>7.1280000000000001</v>
      </c>
      <c r="G11" s="243">
        <f>(F11*D11)</f>
        <v>282812.23871999996</v>
      </c>
      <c r="I11" s="74">
        <v>7.92</v>
      </c>
      <c r="J11" s="119">
        <v>0</v>
      </c>
      <c r="K11" s="119">
        <v>0</v>
      </c>
      <c r="L11" s="119">
        <f>F11/$J$2</f>
        <v>5.0914285714285716</v>
      </c>
      <c r="M11" s="118">
        <f t="shared" si="0"/>
        <v>5.0914285714285716</v>
      </c>
      <c r="N11" s="118">
        <f t="shared" si="1"/>
        <v>7.1280000000000001</v>
      </c>
    </row>
    <row r="12" spans="1:14" ht="19.899999999999999" customHeight="1" x14ac:dyDescent="0.25">
      <c r="A12" s="242" t="s">
        <v>9</v>
      </c>
      <c r="B12" s="61" t="s">
        <v>106</v>
      </c>
      <c r="C12" s="70" t="s">
        <v>13</v>
      </c>
      <c r="D12" s="62">
        <v>51579.112000000001</v>
      </c>
      <c r="E12" s="63" t="s">
        <v>11</v>
      </c>
      <c r="F12" s="64">
        <f t="shared" ref="F12:F13" si="2">I12*$I$5</f>
        <v>4.9139999999999997</v>
      </c>
      <c r="G12" s="243">
        <f>(F12*D12)</f>
        <v>253459.756368</v>
      </c>
      <c r="I12" s="74">
        <v>5.46</v>
      </c>
      <c r="J12" s="119">
        <v>0</v>
      </c>
      <c r="K12" s="119">
        <v>0</v>
      </c>
      <c r="L12" s="119">
        <f>F12/$J$2</f>
        <v>3.5100000000000002</v>
      </c>
      <c r="M12" s="118">
        <f t="shared" si="0"/>
        <v>3.5100000000000002</v>
      </c>
      <c r="N12" s="118">
        <f t="shared" si="1"/>
        <v>4.9139999999999997</v>
      </c>
    </row>
    <row r="13" spans="1:14" ht="19.899999999999999" customHeight="1" x14ac:dyDescent="0.25">
      <c r="A13" s="242" t="s">
        <v>12</v>
      </c>
      <c r="B13" s="61" t="s">
        <v>107</v>
      </c>
      <c r="C13" s="70" t="s">
        <v>14</v>
      </c>
      <c r="D13" s="62">
        <v>13592.94</v>
      </c>
      <c r="E13" s="63" t="s">
        <v>11</v>
      </c>
      <c r="F13" s="64">
        <f t="shared" si="2"/>
        <v>12.303000000000001</v>
      </c>
      <c r="G13" s="243">
        <f>(F13*D13)</f>
        <v>167233.94082000002</v>
      </c>
      <c r="I13" s="74">
        <v>13.67</v>
      </c>
      <c r="J13" s="119">
        <v>0</v>
      </c>
      <c r="K13" s="119">
        <v>0</v>
      </c>
      <c r="L13" s="119">
        <f>F13/$J$2</f>
        <v>8.7878571428571437</v>
      </c>
      <c r="M13" s="118">
        <f t="shared" si="0"/>
        <v>8.7878571428571437</v>
      </c>
      <c r="N13" s="118">
        <f t="shared" si="1"/>
        <v>12.303000000000001</v>
      </c>
    </row>
    <row r="14" spans="1:14" ht="22.9" customHeight="1" x14ac:dyDescent="0.25">
      <c r="A14" s="240">
        <v>2</v>
      </c>
      <c r="B14" s="75">
        <v>3</v>
      </c>
      <c r="C14" s="76" t="s">
        <v>15</v>
      </c>
      <c r="D14" s="77"/>
      <c r="E14" s="77"/>
      <c r="F14" s="77"/>
      <c r="G14" s="241">
        <f>G15</f>
        <v>1364986.4301093998</v>
      </c>
      <c r="J14" s="119"/>
      <c r="K14" s="119"/>
      <c r="L14" s="119"/>
      <c r="M14" s="118">
        <f t="shared" si="0"/>
        <v>0</v>
      </c>
      <c r="N14" s="118">
        <f t="shared" si="1"/>
        <v>0</v>
      </c>
    </row>
    <row r="15" spans="1:14" ht="21" customHeight="1" x14ac:dyDescent="0.25">
      <c r="A15" s="244" t="s">
        <v>16</v>
      </c>
      <c r="B15" s="65" t="s">
        <v>34</v>
      </c>
      <c r="C15" s="66" t="s">
        <v>17</v>
      </c>
      <c r="D15" s="67"/>
      <c r="E15" s="68"/>
      <c r="F15" s="69"/>
      <c r="G15" s="245">
        <f>SUM(G16:G29)</f>
        <v>1364986.4301093998</v>
      </c>
      <c r="J15" s="119"/>
      <c r="K15" s="119"/>
      <c r="L15" s="119"/>
      <c r="M15" s="118">
        <f t="shared" si="0"/>
        <v>0</v>
      </c>
      <c r="N15" s="118">
        <f t="shared" si="1"/>
        <v>0</v>
      </c>
    </row>
    <row r="16" spans="1:14" ht="19.899999999999999" customHeight="1" x14ac:dyDescent="0.25">
      <c r="A16" s="242" t="s">
        <v>18</v>
      </c>
      <c r="B16" s="61" t="s">
        <v>35</v>
      </c>
      <c r="C16" s="70" t="s">
        <v>108</v>
      </c>
      <c r="D16" s="62">
        <v>347.5</v>
      </c>
      <c r="E16" s="63" t="s">
        <v>19</v>
      </c>
      <c r="F16" s="64">
        <f>I16*$I$10</f>
        <v>211.04299999999998</v>
      </c>
      <c r="G16" s="243">
        <f>(F16*D16)</f>
        <v>73337.44249999999</v>
      </c>
      <c r="I16" s="74">
        <v>215.35</v>
      </c>
      <c r="J16" s="119">
        <f>Sheet1!I37</f>
        <v>90</v>
      </c>
      <c r="K16" s="119">
        <f>Sheet1!J37</f>
        <v>29.889393939393937</v>
      </c>
      <c r="L16" s="119">
        <f>Sheet1!K37</f>
        <v>33.92878787878788</v>
      </c>
      <c r="M16" s="118">
        <f t="shared" si="0"/>
        <v>153.81818181818181</v>
      </c>
      <c r="N16" s="118">
        <f t="shared" si="1"/>
        <v>215.34545454545452</v>
      </c>
    </row>
    <row r="17" spans="1:15" ht="19.899999999999999" customHeight="1" x14ac:dyDescent="0.25">
      <c r="A17" s="242" t="s">
        <v>20</v>
      </c>
      <c r="B17" s="61" t="s">
        <v>36</v>
      </c>
      <c r="C17" s="70" t="s">
        <v>109</v>
      </c>
      <c r="D17" s="62">
        <v>1370.34</v>
      </c>
      <c r="E17" s="63" t="s">
        <v>19</v>
      </c>
      <c r="F17" s="64">
        <f t="shared" ref="F17:F27" si="3">I17*$I$10</f>
        <v>302.63380000000001</v>
      </c>
      <c r="G17" s="243">
        <f>(F17*D17)</f>
        <v>414711.20149199996</v>
      </c>
      <c r="I17" s="74">
        <v>308.81</v>
      </c>
      <c r="J17" s="119">
        <f>Sheet1!I38</f>
        <v>144</v>
      </c>
      <c r="K17" s="119">
        <f>Sheet1!J38</f>
        <v>35.867272727272727</v>
      </c>
      <c r="L17" s="119">
        <f>Sheet1!K38</f>
        <v>40.714545454545458</v>
      </c>
      <c r="M17" s="118">
        <f t="shared" si="0"/>
        <v>220.58181818181819</v>
      </c>
      <c r="N17" s="118">
        <f t="shared" si="1"/>
        <v>308.81454545454545</v>
      </c>
    </row>
    <row r="18" spans="1:15" ht="19.899999999999999" customHeight="1" x14ac:dyDescent="0.25">
      <c r="A18" s="242" t="s">
        <v>21</v>
      </c>
      <c r="B18" s="61" t="s">
        <v>37</v>
      </c>
      <c r="C18" s="70" t="s">
        <v>110</v>
      </c>
      <c r="D18" s="62">
        <v>182.83</v>
      </c>
      <c r="E18" s="63" t="s">
        <v>19</v>
      </c>
      <c r="F18" s="64">
        <f t="shared" si="3"/>
        <v>832.23559999999998</v>
      </c>
      <c r="G18" s="243">
        <f t="shared" ref="G18:G29" si="4">(F18*D18)</f>
        <v>152157.63474800001</v>
      </c>
      <c r="I18" s="74">
        <v>849.22</v>
      </c>
      <c r="J18" s="119">
        <f>Sheet1!I39</f>
        <v>298</v>
      </c>
      <c r="K18" s="119">
        <f>Sheet1!J39</f>
        <v>44.834090909090904</v>
      </c>
      <c r="L18" s="119">
        <f>Sheet1!K39</f>
        <v>50.893181818181816</v>
      </c>
      <c r="M18" s="118">
        <f t="shared" si="0"/>
        <v>393.72727272727269</v>
      </c>
      <c r="N18" s="118">
        <f t="shared" si="1"/>
        <v>551.21818181818173</v>
      </c>
    </row>
    <row r="19" spans="1:15" ht="19.899999999999999" customHeight="1" x14ac:dyDescent="0.25">
      <c r="A19" s="242" t="s">
        <v>22</v>
      </c>
      <c r="B19" s="61" t="s">
        <v>38</v>
      </c>
      <c r="C19" s="70" t="s">
        <v>111</v>
      </c>
      <c r="D19" s="62">
        <v>183.25</v>
      </c>
      <c r="E19" s="63" t="s">
        <v>19</v>
      </c>
      <c r="F19" s="64">
        <f t="shared" si="3"/>
        <v>1292.3162</v>
      </c>
      <c r="G19" s="243">
        <f t="shared" si="4"/>
        <v>236816.94365</v>
      </c>
      <c r="I19" s="74">
        <v>1318.69</v>
      </c>
      <c r="J19" s="119">
        <f>Sheet1!I40</f>
        <v>475</v>
      </c>
      <c r="K19" s="119">
        <f>Sheet1!J40</f>
        <v>59.778787878787874</v>
      </c>
      <c r="L19" s="119">
        <f>Sheet1!K40</f>
        <v>67.857575757575759</v>
      </c>
      <c r="M19" s="118">
        <f t="shared" si="0"/>
        <v>602.63636363636363</v>
      </c>
      <c r="N19" s="118">
        <f t="shared" si="1"/>
        <v>843.69090909090903</v>
      </c>
    </row>
    <row r="20" spans="1:15" ht="19.899999999999999" customHeight="1" x14ac:dyDescent="0.25">
      <c r="A20" s="242" t="s">
        <v>23</v>
      </c>
      <c r="B20" s="61" t="s">
        <v>39</v>
      </c>
      <c r="C20" s="70" t="s">
        <v>25</v>
      </c>
      <c r="D20" s="62">
        <v>10</v>
      </c>
      <c r="E20" s="63" t="s">
        <v>26</v>
      </c>
      <c r="F20" s="64">
        <f t="shared" si="3"/>
        <v>2368.9834000000001</v>
      </c>
      <c r="G20" s="243">
        <f t="shared" si="4"/>
        <v>23689.834000000003</v>
      </c>
      <c r="I20" s="74">
        <v>2417.33</v>
      </c>
      <c r="J20" s="119">
        <f>Sheet1!I42</f>
        <v>1212.4173414304994</v>
      </c>
      <c r="K20" s="119">
        <f>Sheet1!J42</f>
        <v>500</v>
      </c>
      <c r="L20" s="119">
        <f>Sheet1!K42</f>
        <v>14.250090909090908</v>
      </c>
      <c r="M20" s="118">
        <f t="shared" si="0"/>
        <v>1726.6674323395903</v>
      </c>
      <c r="N20" s="118">
        <f t="shared" si="1"/>
        <v>2417.3344052754264</v>
      </c>
    </row>
    <row r="21" spans="1:15" ht="19.899999999999999" customHeight="1" x14ac:dyDescent="0.25">
      <c r="A21" s="242" t="s">
        <v>24</v>
      </c>
      <c r="B21" s="61" t="s">
        <v>40</v>
      </c>
      <c r="C21" s="70" t="s">
        <v>76</v>
      </c>
      <c r="D21" s="62">
        <v>50</v>
      </c>
      <c r="E21" s="63" t="s">
        <v>26</v>
      </c>
      <c r="F21" s="64">
        <f t="shared" si="3"/>
        <v>4333.9715999999999</v>
      </c>
      <c r="G21" s="243">
        <f t="shared" si="4"/>
        <v>216698.58</v>
      </c>
      <c r="I21" s="74">
        <v>4422.42</v>
      </c>
      <c r="J21" s="119">
        <f>Sheet1!I43</f>
        <v>2330.367746288799</v>
      </c>
      <c r="K21" s="119">
        <f>Sheet1!J43</f>
        <v>800</v>
      </c>
      <c r="L21" s="119">
        <f>Sheet1!K43</f>
        <v>28.500181818181815</v>
      </c>
      <c r="M21" s="118">
        <f t="shared" si="0"/>
        <v>3158.8679281069808</v>
      </c>
      <c r="N21" s="118">
        <f t="shared" si="1"/>
        <v>4422.4150993497724</v>
      </c>
    </row>
    <row r="22" spans="1:15" ht="30" x14ac:dyDescent="0.25">
      <c r="A22" s="242" t="s">
        <v>27</v>
      </c>
      <c r="B22" s="61" t="s">
        <v>41</v>
      </c>
      <c r="C22" s="70" t="s">
        <v>77</v>
      </c>
      <c r="D22" s="62">
        <v>31</v>
      </c>
      <c r="E22" s="63" t="s">
        <v>26</v>
      </c>
      <c r="F22" s="64">
        <f t="shared" si="3"/>
        <v>4080.6219999999994</v>
      </c>
      <c r="G22" s="243">
        <f t="shared" ref="G22:G24" si="5">(F22*D22)</f>
        <v>126499.28199999998</v>
      </c>
      <c r="I22" s="74">
        <v>4163.8999999999996</v>
      </c>
      <c r="J22" s="119">
        <f>Sheet1!I41</f>
        <v>2242.1508097165993</v>
      </c>
      <c r="K22" s="119">
        <f>Sheet1!J41</f>
        <v>700</v>
      </c>
      <c r="L22" s="119">
        <f>Sheet1!K41</f>
        <v>32.062704545454544</v>
      </c>
      <c r="M22" s="118">
        <f t="shared" si="0"/>
        <v>2974.2135142620536</v>
      </c>
      <c r="N22" s="118">
        <f t="shared" si="1"/>
        <v>4163.8989199668749</v>
      </c>
    </row>
    <row r="23" spans="1:15" ht="30" x14ac:dyDescent="0.25">
      <c r="A23" s="242" t="s">
        <v>28</v>
      </c>
      <c r="B23" s="61" t="s">
        <v>42</v>
      </c>
      <c r="C23" s="70" t="s">
        <v>78</v>
      </c>
      <c r="D23" s="62">
        <v>13</v>
      </c>
      <c r="E23" s="63" t="s">
        <v>26</v>
      </c>
      <c r="F23" s="64">
        <f t="shared" si="3"/>
        <v>4942.0413041999991</v>
      </c>
      <c r="G23" s="243">
        <f t="shared" si="5"/>
        <v>64246.536954599986</v>
      </c>
      <c r="I23" s="74">
        <v>5042.8992899999994</v>
      </c>
      <c r="J23" s="119">
        <f>J22*1.224</f>
        <v>2744.3925910931175</v>
      </c>
      <c r="K23" s="119">
        <f>K22*1.224</f>
        <v>856.8</v>
      </c>
      <c r="L23" s="119">
        <f>L22*1.224-2.34</f>
        <v>36.904750363636367</v>
      </c>
      <c r="M23" s="118">
        <f t="shared" si="0"/>
        <v>3638.0973414567543</v>
      </c>
      <c r="N23" s="118">
        <f>TRUNC(M23*$J$2,2)</f>
        <v>5093.33</v>
      </c>
      <c r="O23" s="74">
        <f>F23/1.4</f>
        <v>3530.0295029999997</v>
      </c>
    </row>
    <row r="24" spans="1:15" ht="30" x14ac:dyDescent="0.25">
      <c r="A24" s="242" t="s">
        <v>29</v>
      </c>
      <c r="B24" s="61" t="s">
        <v>43</v>
      </c>
      <c r="C24" s="70" t="s">
        <v>79</v>
      </c>
      <c r="D24" s="62">
        <v>3</v>
      </c>
      <c r="E24" s="63" t="s">
        <v>26</v>
      </c>
      <c r="F24" s="64">
        <f t="shared" si="3"/>
        <v>5366.0179299999991</v>
      </c>
      <c r="G24" s="243">
        <f t="shared" si="5"/>
        <v>16098.053789999998</v>
      </c>
      <c r="I24" s="74">
        <v>5475.5284999999994</v>
      </c>
      <c r="J24" s="119">
        <f>J23*1.085+2.87</f>
        <v>2980.5359613360324</v>
      </c>
      <c r="K24" s="119">
        <f>K23*1.085</f>
        <v>929.62799999999993</v>
      </c>
      <c r="L24" s="119">
        <f>L23*1.085</f>
        <v>40.041654144545454</v>
      </c>
      <c r="M24" s="118">
        <f t="shared" si="0"/>
        <v>3950.2056154805778</v>
      </c>
      <c r="N24" s="118">
        <f>TRUNC(M24*$J$2,2)</f>
        <v>5530.28</v>
      </c>
      <c r="O24" s="74">
        <f>F24/1.4</f>
        <v>3832.8699499999998</v>
      </c>
    </row>
    <row r="25" spans="1:15" ht="30" x14ac:dyDescent="0.25">
      <c r="A25" s="242" t="s">
        <v>27</v>
      </c>
      <c r="B25" s="61" t="s">
        <v>117</v>
      </c>
      <c r="C25" s="70" t="s">
        <v>112</v>
      </c>
      <c r="D25" s="62">
        <v>4</v>
      </c>
      <c r="E25" s="63" t="s">
        <v>26</v>
      </c>
      <c r="F25" s="64">
        <f t="shared" si="3"/>
        <v>5848.9595436999998</v>
      </c>
      <c r="G25" s="243">
        <f t="shared" si="4"/>
        <v>23395.838174799999</v>
      </c>
      <c r="I25" s="74">
        <f>I24*1.09</f>
        <v>5968.3260650000002</v>
      </c>
      <c r="J25" s="119">
        <f>J24*1.09</f>
        <v>3248.7841978562756</v>
      </c>
      <c r="K25" s="119">
        <f>K24*1.09</f>
        <v>1013.29452</v>
      </c>
      <c r="L25" s="119">
        <f>L24*1.09</f>
        <v>43.64540301755455</v>
      </c>
      <c r="M25" s="118">
        <f t="shared" si="0"/>
        <v>4305.7241208738305</v>
      </c>
      <c r="N25" s="118">
        <f t="shared" si="1"/>
        <v>6028.013769223362</v>
      </c>
      <c r="O25" s="74">
        <f>F25/1.4</f>
        <v>4177.8282454999999</v>
      </c>
    </row>
    <row r="26" spans="1:15" ht="19.899999999999999" customHeight="1" x14ac:dyDescent="0.25">
      <c r="A26" s="242" t="s">
        <v>28</v>
      </c>
      <c r="B26" s="61" t="s">
        <v>118</v>
      </c>
      <c r="C26" s="70" t="s">
        <v>113</v>
      </c>
      <c r="D26" s="62">
        <v>1</v>
      </c>
      <c r="E26" s="63" t="s">
        <v>26</v>
      </c>
      <c r="F26" s="64">
        <f t="shared" si="3"/>
        <v>8667.5414000000001</v>
      </c>
      <c r="G26" s="243">
        <f t="shared" si="4"/>
        <v>8667.5414000000001</v>
      </c>
      <c r="I26" s="74">
        <v>8844.43</v>
      </c>
      <c r="J26" s="119">
        <f>TRUNC(Sheet1!I44+62.89,2)</f>
        <v>4723.62</v>
      </c>
      <c r="K26" s="119">
        <f>Sheet1!J44</f>
        <v>1600</v>
      </c>
      <c r="L26" s="119">
        <f>Sheet1!K44</f>
        <v>57.00036363636363</v>
      </c>
      <c r="M26" s="118">
        <f t="shared" si="0"/>
        <v>6380.6203636363634</v>
      </c>
      <c r="N26" s="118">
        <f t="shared" si="1"/>
        <v>8932.8685090909075</v>
      </c>
      <c r="O26" s="74">
        <f>F26/1.4</f>
        <v>6191.1010000000006</v>
      </c>
    </row>
    <row r="27" spans="1:15" ht="19.899999999999999" customHeight="1" x14ac:dyDescent="0.25">
      <c r="A27" s="242" t="s">
        <v>29</v>
      </c>
      <c r="B27" s="61" t="s">
        <v>119</v>
      </c>
      <c r="C27" s="70" t="s">
        <v>114</v>
      </c>
      <c r="D27" s="62">
        <v>1</v>
      </c>
      <c r="E27" s="63" t="s">
        <v>26</v>
      </c>
      <c r="F27" s="64">
        <f t="shared" si="3"/>
        <v>8667.5414000000001</v>
      </c>
      <c r="G27" s="243">
        <f t="shared" si="4"/>
        <v>8667.5414000000001</v>
      </c>
      <c r="I27" s="74">
        <v>8844.43</v>
      </c>
      <c r="J27" s="119">
        <f>J26</f>
        <v>4723.62</v>
      </c>
      <c r="K27" s="119">
        <f>K26</f>
        <v>1600</v>
      </c>
      <c r="L27" s="119">
        <f>L26</f>
        <v>57.00036363636363</v>
      </c>
      <c r="M27" s="118">
        <f t="shared" si="0"/>
        <v>6380.6203636363634</v>
      </c>
      <c r="N27" s="118">
        <f t="shared" si="1"/>
        <v>8932.8685090909075</v>
      </c>
    </row>
    <row r="28" spans="1:15" ht="19.899999999999999" customHeight="1" x14ac:dyDescent="0.25">
      <c r="A28" s="242" t="s">
        <v>30</v>
      </c>
      <c r="B28" s="61" t="s">
        <v>120</v>
      </c>
      <c r="C28" s="70" t="s">
        <v>115</v>
      </c>
      <c r="D28" s="62"/>
      <c r="E28" s="63"/>
      <c r="F28" s="64">
        <f t="shared" ref="F28" si="6">I28*$I$6</f>
        <v>0</v>
      </c>
      <c r="G28" s="243">
        <f t="shared" si="4"/>
        <v>0</v>
      </c>
      <c r="J28" s="119"/>
      <c r="K28" s="119"/>
      <c r="L28" s="119"/>
      <c r="M28" s="118">
        <f t="shared" si="0"/>
        <v>0</v>
      </c>
      <c r="N28" s="118">
        <f t="shared" si="1"/>
        <v>0</v>
      </c>
    </row>
    <row r="29" spans="1:15" ht="19.899999999999999" customHeight="1" x14ac:dyDescent="0.25">
      <c r="A29" s="242" t="s">
        <v>31</v>
      </c>
      <c r="B29" s="61" t="s">
        <v>121</v>
      </c>
      <c r="C29" s="70" t="s">
        <v>116</v>
      </c>
      <c r="D29" s="62"/>
      <c r="E29" s="63"/>
      <c r="F29" s="64"/>
      <c r="G29" s="243">
        <f t="shared" si="4"/>
        <v>0</v>
      </c>
      <c r="J29" s="119"/>
      <c r="K29" s="119"/>
      <c r="L29" s="119"/>
      <c r="M29" s="118">
        <f t="shared" si="0"/>
        <v>0</v>
      </c>
      <c r="N29" s="118">
        <f t="shared" si="1"/>
        <v>0</v>
      </c>
    </row>
    <row r="30" spans="1:15" ht="22.9" customHeight="1" x14ac:dyDescent="0.25">
      <c r="A30" s="240">
        <v>3</v>
      </c>
      <c r="B30" s="75">
        <v>4</v>
      </c>
      <c r="C30" s="76" t="s">
        <v>33</v>
      </c>
      <c r="D30" s="77"/>
      <c r="E30" s="77"/>
      <c r="F30" s="77"/>
      <c r="G30" s="241">
        <f>G31+G49</f>
        <v>591782.20177399996</v>
      </c>
      <c r="J30" s="119"/>
      <c r="K30" s="119"/>
      <c r="L30" s="119"/>
      <c r="M30" s="118">
        <f t="shared" si="0"/>
        <v>0</v>
      </c>
      <c r="N30" s="118">
        <f t="shared" si="1"/>
        <v>0</v>
      </c>
    </row>
    <row r="31" spans="1:15" ht="21" customHeight="1" x14ac:dyDescent="0.25">
      <c r="A31" s="244" t="s">
        <v>34</v>
      </c>
      <c r="B31" s="65" t="s">
        <v>46</v>
      </c>
      <c r="C31" s="66" t="s">
        <v>17</v>
      </c>
      <c r="D31" s="67"/>
      <c r="E31" s="68"/>
      <c r="F31" s="69"/>
      <c r="G31" s="245">
        <f>SUM(G32:G48)</f>
        <v>452565.067774</v>
      </c>
      <c r="J31" s="119"/>
      <c r="K31" s="119"/>
      <c r="L31" s="119"/>
      <c r="M31" s="118">
        <f t="shared" si="0"/>
        <v>0</v>
      </c>
      <c r="N31" s="118">
        <f t="shared" si="1"/>
        <v>0</v>
      </c>
    </row>
    <row r="32" spans="1:15" ht="19.899999999999999" customHeight="1" x14ac:dyDescent="0.25">
      <c r="A32" s="242" t="s">
        <v>35</v>
      </c>
      <c r="B32" s="61" t="s">
        <v>47</v>
      </c>
      <c r="C32" s="70" t="s">
        <v>122</v>
      </c>
      <c r="D32" s="62">
        <v>7327.33</v>
      </c>
      <c r="E32" s="63" t="s">
        <v>19</v>
      </c>
      <c r="F32" s="64">
        <f>I32*$I$10</f>
        <v>34.936999999999998</v>
      </c>
      <c r="G32" s="243">
        <f t="shared" ref="G32:G43" si="7">(F32*D32)</f>
        <v>255994.92820999998</v>
      </c>
      <c r="I32" s="74">
        <v>35.65</v>
      </c>
      <c r="J32" s="119">
        <f>Sheet1!I91</f>
        <v>10.413333333333332</v>
      </c>
      <c r="K32" s="119">
        <f>Sheet1!J91</f>
        <v>9.9631313131313117</v>
      </c>
      <c r="L32" s="119">
        <f>Sheet1!K91</f>
        <v>5.0893181818181823</v>
      </c>
      <c r="M32" s="118">
        <f t="shared" si="0"/>
        <v>25.465782828282826</v>
      </c>
      <c r="N32" s="118">
        <f t="shared" si="1"/>
        <v>35.652095959595954</v>
      </c>
    </row>
    <row r="33" spans="1:14" ht="19.899999999999999" customHeight="1" x14ac:dyDescent="0.25">
      <c r="A33" s="242" t="s">
        <v>36</v>
      </c>
      <c r="B33" s="61" t="s">
        <v>49</v>
      </c>
      <c r="C33" s="70" t="s">
        <v>123</v>
      </c>
      <c r="D33" s="62">
        <v>409.85</v>
      </c>
      <c r="E33" s="63" t="s">
        <v>19</v>
      </c>
      <c r="F33" s="64">
        <f t="shared" ref="F33:F48" si="8">I33*$I$10</f>
        <v>49.323399999999999</v>
      </c>
      <c r="G33" s="243">
        <f t="shared" ref="G33:G36" si="9">(F33*D33)</f>
        <v>20215.195490000002</v>
      </c>
      <c r="I33" s="74">
        <v>50.33</v>
      </c>
      <c r="J33" s="119">
        <f>Sheet1!I90</f>
        <v>20.900000000000002</v>
      </c>
      <c r="K33" s="119">
        <f>Sheet1!J90</f>
        <v>9.9631313131313117</v>
      </c>
      <c r="L33" s="119">
        <f>Sheet1!K90</f>
        <v>5.0893181818181823</v>
      </c>
      <c r="M33" s="118">
        <f t="shared" si="0"/>
        <v>35.952449494949491</v>
      </c>
      <c r="N33" s="118">
        <f t="shared" si="1"/>
        <v>50.333429292929281</v>
      </c>
    </row>
    <row r="34" spans="1:14" ht="19.899999999999999" customHeight="1" x14ac:dyDescent="0.25">
      <c r="A34" s="242" t="s">
        <v>37</v>
      </c>
      <c r="B34" s="61" t="s">
        <v>50</v>
      </c>
      <c r="C34" s="70" t="s">
        <v>80</v>
      </c>
      <c r="D34" s="62">
        <v>330.87</v>
      </c>
      <c r="E34" s="63" t="s">
        <v>19</v>
      </c>
      <c r="F34" s="64">
        <f t="shared" si="8"/>
        <v>68.942999999999998</v>
      </c>
      <c r="G34" s="243">
        <f t="shared" si="9"/>
        <v>22811.170409999999</v>
      </c>
      <c r="I34" s="74">
        <v>70.349999999999994</v>
      </c>
      <c r="J34" s="119">
        <f>Sheet1!I89</f>
        <v>35.199999999999996</v>
      </c>
      <c r="K34" s="119">
        <f>Sheet1!J89</f>
        <v>9.9631313131313117</v>
      </c>
      <c r="L34" s="119">
        <f>Sheet1!K89</f>
        <v>5.0893181818181823</v>
      </c>
      <c r="M34" s="118">
        <f t="shared" si="0"/>
        <v>50.252449494949488</v>
      </c>
      <c r="N34" s="118">
        <f t="shared" si="1"/>
        <v>70.353429292929277</v>
      </c>
    </row>
    <row r="35" spans="1:14" ht="19.899999999999999" customHeight="1" x14ac:dyDescent="0.25">
      <c r="A35" s="242" t="s">
        <v>38</v>
      </c>
      <c r="B35" s="61" t="s">
        <v>51</v>
      </c>
      <c r="C35" s="70" t="s">
        <v>124</v>
      </c>
      <c r="D35" s="62">
        <v>363.81</v>
      </c>
      <c r="E35" s="63" t="s">
        <v>19</v>
      </c>
      <c r="F35" s="64">
        <f t="shared" si="8"/>
        <v>114.9344</v>
      </c>
      <c r="G35" s="243">
        <f t="shared" si="9"/>
        <v>41814.284063999999</v>
      </c>
      <c r="I35" s="74">
        <v>117.28</v>
      </c>
      <c r="J35" s="119">
        <f>Sheet1!I88</f>
        <v>65.875</v>
      </c>
      <c r="K35" s="119">
        <f>Sheet1!J88</f>
        <v>12.809740259740259</v>
      </c>
      <c r="L35" s="119">
        <f>Sheet1!K88</f>
        <v>5.0893181818181823</v>
      </c>
      <c r="M35" s="118">
        <f t="shared" si="0"/>
        <v>83.774058441558452</v>
      </c>
      <c r="N35" s="118">
        <f t="shared" si="1"/>
        <v>117.28368181818182</v>
      </c>
    </row>
    <row r="36" spans="1:14" ht="19.899999999999999" customHeight="1" x14ac:dyDescent="0.25">
      <c r="A36" s="242" t="s">
        <v>39</v>
      </c>
      <c r="B36" s="61" t="s">
        <v>134</v>
      </c>
      <c r="C36" s="70" t="s">
        <v>125</v>
      </c>
      <c r="D36" s="62">
        <v>64</v>
      </c>
      <c r="E36" s="63" t="s">
        <v>26</v>
      </c>
      <c r="F36" s="64">
        <f t="shared" si="8"/>
        <v>837.68439999999998</v>
      </c>
      <c r="G36" s="243">
        <f t="shared" si="9"/>
        <v>53611.801599999999</v>
      </c>
      <c r="I36" s="74">
        <v>854.78</v>
      </c>
      <c r="J36" s="119">
        <f>Sheet1!I53</f>
        <v>590.55999999999995</v>
      </c>
      <c r="K36" s="119">
        <f>Sheet1!J53</f>
        <v>10</v>
      </c>
      <c r="L36" s="119">
        <f>Sheet1!K53</f>
        <v>10</v>
      </c>
      <c r="M36" s="118">
        <f t="shared" si="0"/>
        <v>610.55999999999995</v>
      </c>
      <c r="N36" s="118">
        <f t="shared" si="1"/>
        <v>854.78399999999988</v>
      </c>
    </row>
    <row r="37" spans="1:14" ht="19.899999999999999" customHeight="1" x14ac:dyDescent="0.25">
      <c r="A37" s="242" t="s">
        <v>41</v>
      </c>
      <c r="B37" s="61" t="s">
        <v>135</v>
      </c>
      <c r="C37" s="70" t="s">
        <v>126</v>
      </c>
      <c r="D37" s="62">
        <v>6</v>
      </c>
      <c r="E37" s="63" t="s">
        <v>26</v>
      </c>
      <c r="F37" s="64">
        <f t="shared" si="8"/>
        <v>938.11479999999995</v>
      </c>
      <c r="G37" s="243">
        <f>(F37*D37)</f>
        <v>5628.6887999999999</v>
      </c>
      <c r="I37" s="74">
        <v>957.26</v>
      </c>
      <c r="J37" s="119">
        <f>Sheet1!I52</f>
        <v>663.76</v>
      </c>
      <c r="K37" s="119">
        <f>Sheet1!J52</f>
        <v>10</v>
      </c>
      <c r="L37" s="119">
        <f>Sheet1!K52</f>
        <v>10</v>
      </c>
      <c r="M37" s="118">
        <f t="shared" si="0"/>
        <v>683.76</v>
      </c>
      <c r="N37" s="118">
        <f t="shared" si="1"/>
        <v>957.2639999999999</v>
      </c>
    </row>
    <row r="38" spans="1:14" ht="19.899999999999999" customHeight="1" x14ac:dyDescent="0.25">
      <c r="A38" s="242" t="s">
        <v>40</v>
      </c>
      <c r="B38" s="61" t="s">
        <v>136</v>
      </c>
      <c r="C38" s="70" t="s">
        <v>44</v>
      </c>
      <c r="D38" s="62">
        <v>3</v>
      </c>
      <c r="E38" s="63" t="s">
        <v>26</v>
      </c>
      <c r="F38" s="64">
        <f t="shared" si="8"/>
        <v>1242.8163999999999</v>
      </c>
      <c r="G38" s="243">
        <f>(F38*D38)</f>
        <v>3728.4492</v>
      </c>
      <c r="I38" s="74">
        <v>1268.18</v>
      </c>
      <c r="J38" s="119">
        <f>Sheet1!I51</f>
        <v>885.84</v>
      </c>
      <c r="K38" s="119">
        <f>Sheet1!J51</f>
        <v>10</v>
      </c>
      <c r="L38" s="119">
        <f>Sheet1!K51</f>
        <v>10</v>
      </c>
      <c r="M38" s="118">
        <f t="shared" si="0"/>
        <v>905.84</v>
      </c>
      <c r="N38" s="118">
        <f t="shared" si="1"/>
        <v>1268.1759999999999</v>
      </c>
    </row>
    <row r="39" spans="1:14" ht="19.899999999999999" customHeight="1" x14ac:dyDescent="0.25">
      <c r="A39" s="242" t="s">
        <v>43</v>
      </c>
      <c r="B39" s="61" t="s">
        <v>137</v>
      </c>
      <c r="C39" s="70" t="s">
        <v>81</v>
      </c>
      <c r="D39" s="62">
        <v>1</v>
      </c>
      <c r="E39" s="63" t="s">
        <v>26</v>
      </c>
      <c r="F39" s="64">
        <f t="shared" si="8"/>
        <v>2150.12</v>
      </c>
      <c r="G39" s="243">
        <f>(F39*D39)</f>
        <v>2150.12</v>
      </c>
      <c r="I39" s="74">
        <v>2194</v>
      </c>
      <c r="J39" s="119">
        <f>Sheet1!I50</f>
        <v>1547.17</v>
      </c>
      <c r="K39" s="119">
        <f>Sheet1!J50</f>
        <v>10</v>
      </c>
      <c r="L39" s="119">
        <f>Sheet1!K50</f>
        <v>10</v>
      </c>
      <c r="M39" s="118">
        <f t="shared" si="0"/>
        <v>1567.17</v>
      </c>
      <c r="N39" s="118">
        <f t="shared" si="1"/>
        <v>2194.038</v>
      </c>
    </row>
    <row r="40" spans="1:14" ht="19.899999999999999" customHeight="1" x14ac:dyDescent="0.25">
      <c r="A40" s="242" t="s">
        <v>36</v>
      </c>
      <c r="B40" s="61" t="s">
        <v>138</v>
      </c>
      <c r="C40" s="70" t="s">
        <v>82</v>
      </c>
      <c r="D40" s="62">
        <v>75</v>
      </c>
      <c r="E40" s="63" t="s">
        <v>26</v>
      </c>
      <c r="F40" s="64">
        <f t="shared" si="8"/>
        <v>493.92</v>
      </c>
      <c r="G40" s="243">
        <f t="shared" si="7"/>
        <v>37044</v>
      </c>
      <c r="I40" s="74">
        <v>504</v>
      </c>
      <c r="J40" s="119">
        <f>F40/1.4</f>
        <v>352.8</v>
      </c>
      <c r="K40" s="119">
        <v>0</v>
      </c>
      <c r="L40" s="119">
        <v>0</v>
      </c>
      <c r="M40" s="118">
        <f t="shared" si="0"/>
        <v>352.8</v>
      </c>
      <c r="N40" s="118">
        <f t="shared" si="1"/>
        <v>493.91999999999996</v>
      </c>
    </row>
    <row r="41" spans="1:14" ht="19.899999999999999" customHeight="1" x14ac:dyDescent="0.25">
      <c r="A41" s="242" t="s">
        <v>37</v>
      </c>
      <c r="B41" s="61" t="s">
        <v>139</v>
      </c>
      <c r="C41" s="70" t="s">
        <v>127</v>
      </c>
      <c r="D41" s="62">
        <v>1</v>
      </c>
      <c r="E41" s="63" t="s">
        <v>26</v>
      </c>
      <c r="F41" s="64">
        <f>I41*$I$10+312.29</f>
        <v>9566.43</v>
      </c>
      <c r="G41" s="243">
        <f t="shared" si="7"/>
        <v>9566.43</v>
      </c>
      <c r="I41" s="74">
        <v>9443</v>
      </c>
      <c r="J41" s="119">
        <f>Sheet1!I85</f>
        <v>6235</v>
      </c>
      <c r="K41" s="119">
        <f>Sheet1!J85</f>
        <v>500</v>
      </c>
      <c r="L41" s="119">
        <f>Sheet1!K85</f>
        <v>10</v>
      </c>
      <c r="M41" s="118">
        <f t="shared" si="0"/>
        <v>6745</v>
      </c>
      <c r="N41" s="118">
        <f t="shared" si="1"/>
        <v>9443</v>
      </c>
    </row>
    <row r="42" spans="1:14" ht="15.75" hidden="1" x14ac:dyDescent="0.25">
      <c r="A42" s="242" t="s">
        <v>38</v>
      </c>
      <c r="B42" s="61" t="s">
        <v>140</v>
      </c>
      <c r="C42" s="70" t="s">
        <v>128</v>
      </c>
      <c r="D42" s="62">
        <v>1</v>
      </c>
      <c r="E42" s="63"/>
      <c r="F42" s="64">
        <f t="shared" si="8"/>
        <v>0</v>
      </c>
      <c r="G42" s="243">
        <f t="shared" si="7"/>
        <v>0</v>
      </c>
      <c r="J42" s="119"/>
      <c r="K42" s="119"/>
      <c r="L42" s="119"/>
      <c r="M42" s="118">
        <f t="shared" si="0"/>
        <v>0</v>
      </c>
      <c r="N42" s="118">
        <f t="shared" si="1"/>
        <v>0</v>
      </c>
    </row>
    <row r="43" spans="1:14" ht="15.75" hidden="1" x14ac:dyDescent="0.25">
      <c r="A43" s="242" t="s">
        <v>39</v>
      </c>
      <c r="B43" s="61" t="s">
        <v>141</v>
      </c>
      <c r="C43" s="70" t="s">
        <v>129</v>
      </c>
      <c r="D43" s="62"/>
      <c r="E43" s="63"/>
      <c r="F43" s="64">
        <f t="shared" si="8"/>
        <v>0</v>
      </c>
      <c r="G43" s="243">
        <f t="shared" si="7"/>
        <v>0</v>
      </c>
      <c r="J43" s="119"/>
      <c r="K43" s="119"/>
      <c r="L43" s="119"/>
      <c r="M43" s="118">
        <f t="shared" si="0"/>
        <v>0</v>
      </c>
      <c r="N43" s="118">
        <f t="shared" si="1"/>
        <v>0</v>
      </c>
    </row>
    <row r="44" spans="1:14" ht="15.75" hidden="1" x14ac:dyDescent="0.25">
      <c r="A44" s="242" t="s">
        <v>41</v>
      </c>
      <c r="B44" s="61" t="s">
        <v>142</v>
      </c>
      <c r="C44" s="70" t="s">
        <v>130</v>
      </c>
      <c r="D44" s="62"/>
      <c r="E44" s="63"/>
      <c r="F44" s="64">
        <f t="shared" si="8"/>
        <v>0</v>
      </c>
      <c r="G44" s="243">
        <f>(F44*D44)</f>
        <v>0</v>
      </c>
      <c r="J44" s="119"/>
      <c r="K44" s="119"/>
      <c r="L44" s="119"/>
      <c r="M44" s="118">
        <f t="shared" si="0"/>
        <v>0</v>
      </c>
      <c r="N44" s="118">
        <f t="shared" si="1"/>
        <v>0</v>
      </c>
    </row>
    <row r="45" spans="1:14" ht="15.75" hidden="1" x14ac:dyDescent="0.25">
      <c r="A45" s="242" t="s">
        <v>40</v>
      </c>
      <c r="B45" s="61" t="s">
        <v>143</v>
      </c>
      <c r="C45" s="70" t="s">
        <v>131</v>
      </c>
      <c r="D45" s="62"/>
      <c r="E45" s="63"/>
      <c r="F45" s="64">
        <f t="shared" si="8"/>
        <v>0</v>
      </c>
      <c r="G45" s="243">
        <f>(F45*D45)</f>
        <v>0</v>
      </c>
      <c r="J45" s="119"/>
      <c r="K45" s="119"/>
      <c r="L45" s="119"/>
      <c r="M45" s="118">
        <f t="shared" si="0"/>
        <v>0</v>
      </c>
      <c r="N45" s="118">
        <f t="shared" si="1"/>
        <v>0</v>
      </c>
    </row>
    <row r="46" spans="1:14" ht="15.75" hidden="1" x14ac:dyDescent="0.25">
      <c r="A46" s="242" t="s">
        <v>40</v>
      </c>
      <c r="B46" s="61" t="s">
        <v>144</v>
      </c>
      <c r="C46" s="70" t="s">
        <v>132</v>
      </c>
      <c r="D46" s="62"/>
      <c r="E46" s="63"/>
      <c r="F46" s="64">
        <f t="shared" si="8"/>
        <v>0</v>
      </c>
      <c r="G46" s="243">
        <f>(F46*D46)</f>
        <v>0</v>
      </c>
      <c r="J46" s="119"/>
      <c r="K46" s="119"/>
      <c r="L46" s="119"/>
      <c r="M46" s="118">
        <f t="shared" si="0"/>
        <v>0</v>
      </c>
      <c r="N46" s="118">
        <f t="shared" si="1"/>
        <v>0</v>
      </c>
    </row>
    <row r="47" spans="1:14" ht="15.75" hidden="1" x14ac:dyDescent="0.25">
      <c r="A47" s="242" t="s">
        <v>43</v>
      </c>
      <c r="B47" s="61" t="s">
        <v>145</v>
      </c>
      <c r="C47" s="70" t="s">
        <v>133</v>
      </c>
      <c r="D47" s="62"/>
      <c r="E47" s="63"/>
      <c r="F47" s="64">
        <f t="shared" si="8"/>
        <v>0</v>
      </c>
      <c r="G47" s="243">
        <f>(F47*D47)</f>
        <v>0</v>
      </c>
      <c r="J47" s="119"/>
      <c r="K47" s="119"/>
      <c r="L47" s="119"/>
      <c r="M47" s="118">
        <f t="shared" si="0"/>
        <v>0</v>
      </c>
      <c r="N47" s="118">
        <f t="shared" si="1"/>
        <v>0</v>
      </c>
    </row>
    <row r="48" spans="1:14" ht="15.75" hidden="1" x14ac:dyDescent="0.25">
      <c r="A48" s="242" t="s">
        <v>42</v>
      </c>
      <c r="B48" s="61" t="s">
        <v>146</v>
      </c>
      <c r="C48" s="70"/>
      <c r="D48" s="62"/>
      <c r="E48" s="63"/>
      <c r="F48" s="64">
        <f t="shared" si="8"/>
        <v>0</v>
      </c>
      <c r="G48" s="243">
        <f>(F48*D48)</f>
        <v>0</v>
      </c>
      <c r="J48" s="119"/>
      <c r="K48" s="119"/>
      <c r="L48" s="119"/>
      <c r="M48" s="118">
        <f t="shared" si="0"/>
        <v>0</v>
      </c>
      <c r="N48" s="118">
        <f t="shared" si="1"/>
        <v>0</v>
      </c>
    </row>
    <row r="49" spans="1:14" ht="21" customHeight="1" x14ac:dyDescent="0.25">
      <c r="A49" s="244" t="s">
        <v>34</v>
      </c>
      <c r="B49" s="65" t="s">
        <v>89</v>
      </c>
      <c r="C49" s="66" t="s">
        <v>166</v>
      </c>
      <c r="D49" s="67"/>
      <c r="E49" s="68"/>
      <c r="F49" s="69"/>
      <c r="G49" s="245">
        <f>SUM(G50:G51)</f>
        <v>139217.13399999999</v>
      </c>
      <c r="J49" s="119"/>
      <c r="K49" s="119"/>
      <c r="L49" s="119"/>
      <c r="M49" s="118">
        <f t="shared" si="0"/>
        <v>0</v>
      </c>
      <c r="N49" s="118">
        <f t="shared" si="1"/>
        <v>0</v>
      </c>
    </row>
    <row r="50" spans="1:14" ht="19.899999999999999" customHeight="1" x14ac:dyDescent="0.25">
      <c r="A50" s="242" t="s">
        <v>35</v>
      </c>
      <c r="B50" s="61" t="s">
        <v>164</v>
      </c>
      <c r="C50" s="70" t="s">
        <v>167</v>
      </c>
      <c r="D50" s="62">
        <v>1</v>
      </c>
      <c r="E50" s="63" t="s">
        <v>26</v>
      </c>
      <c r="F50" s="64">
        <f>I50*$I$10</f>
        <v>8242.9760000000006</v>
      </c>
      <c r="G50" s="243">
        <f t="shared" ref="G50:G51" si="10">(F50*D50)</f>
        <v>8242.9760000000006</v>
      </c>
      <c r="I50" s="74">
        <v>8411.2000000000007</v>
      </c>
      <c r="J50" s="119">
        <f>Sheet1!I49</f>
        <v>5198</v>
      </c>
      <c r="K50" s="119">
        <f>Sheet1!J49</f>
        <v>800</v>
      </c>
      <c r="L50" s="119">
        <f>Sheet1!K49</f>
        <v>10</v>
      </c>
      <c r="M50" s="118">
        <f t="shared" si="0"/>
        <v>6008</v>
      </c>
      <c r="N50" s="118">
        <f t="shared" si="1"/>
        <v>8411.1999999999989</v>
      </c>
    </row>
    <row r="51" spans="1:14" ht="19.899999999999999" customHeight="1" x14ac:dyDescent="0.25">
      <c r="A51" s="242" t="s">
        <v>36</v>
      </c>
      <c r="B51" s="61" t="s">
        <v>165</v>
      </c>
      <c r="C51" s="70" t="s">
        <v>82</v>
      </c>
      <c r="D51" s="62">
        <v>1</v>
      </c>
      <c r="E51" s="63" t="s">
        <v>32</v>
      </c>
      <c r="F51" s="64">
        <f>I51*$I$10</f>
        <v>130974.15799999998</v>
      </c>
      <c r="G51" s="243">
        <f t="shared" si="10"/>
        <v>130974.15799999998</v>
      </c>
      <c r="I51" s="74">
        <v>133647.09999999998</v>
      </c>
      <c r="J51" s="119">
        <f>F51/1.4</f>
        <v>93552.969999999987</v>
      </c>
      <c r="K51" s="119">
        <v>0</v>
      </c>
      <c r="L51" s="119">
        <v>0</v>
      </c>
      <c r="M51" s="118">
        <f t="shared" si="0"/>
        <v>93552.969999999987</v>
      </c>
      <c r="N51" s="118">
        <f t="shared" si="1"/>
        <v>130974.15799999997</v>
      </c>
    </row>
    <row r="52" spans="1:14" ht="22.9" customHeight="1" x14ac:dyDescent="0.25">
      <c r="A52" s="240">
        <v>4</v>
      </c>
      <c r="B52" s="75">
        <v>5</v>
      </c>
      <c r="C52" s="76" t="s">
        <v>45</v>
      </c>
      <c r="D52" s="77"/>
      <c r="E52" s="77"/>
      <c r="F52" s="77"/>
      <c r="G52" s="241">
        <f>G53</f>
        <v>808259.73777541704</v>
      </c>
      <c r="J52" s="119"/>
      <c r="K52" s="119"/>
      <c r="L52" s="119"/>
      <c r="M52" s="118">
        <f t="shared" si="0"/>
        <v>0</v>
      </c>
      <c r="N52" s="118">
        <f t="shared" si="1"/>
        <v>0</v>
      </c>
    </row>
    <row r="53" spans="1:14" ht="21" customHeight="1" x14ac:dyDescent="0.25">
      <c r="A53" s="244" t="s">
        <v>46</v>
      </c>
      <c r="B53" s="65" t="s">
        <v>54</v>
      </c>
      <c r="C53" s="66" t="s">
        <v>17</v>
      </c>
      <c r="D53" s="67"/>
      <c r="E53" s="68"/>
      <c r="F53" s="69"/>
      <c r="G53" s="245">
        <f>SUM(G54:G61)</f>
        <v>808259.73777541704</v>
      </c>
      <c r="J53" s="119"/>
      <c r="K53" s="119"/>
      <c r="L53" s="119"/>
      <c r="M53" s="118">
        <f t="shared" si="0"/>
        <v>0</v>
      </c>
      <c r="N53" s="118">
        <f t="shared" si="1"/>
        <v>0</v>
      </c>
    </row>
    <row r="54" spans="1:14" ht="19.899999999999999" customHeight="1" x14ac:dyDescent="0.25">
      <c r="A54" s="242" t="s">
        <v>47</v>
      </c>
      <c r="B54" s="61" t="s">
        <v>54</v>
      </c>
      <c r="C54" s="70" t="s">
        <v>48</v>
      </c>
      <c r="D54" s="62">
        <v>4328.88</v>
      </c>
      <c r="E54" s="63" t="s">
        <v>19</v>
      </c>
      <c r="F54" s="64">
        <f>I54*$I$10</f>
        <v>70.422799999999995</v>
      </c>
      <c r="G54" s="243">
        <f t="shared" ref="G54:G60" si="11">(F54*D54)</f>
        <v>304851.85046399996</v>
      </c>
      <c r="I54" s="74">
        <v>71.86</v>
      </c>
      <c r="J54" s="119">
        <f>Sheet1!I96</f>
        <v>32.028333333333329</v>
      </c>
      <c r="K54" s="119">
        <f>Sheet1!J96</f>
        <v>12.809740259740259</v>
      </c>
      <c r="L54" s="119">
        <f>Sheet1!K96</f>
        <v>5.0893181818181823</v>
      </c>
      <c r="M54" s="118">
        <f t="shared" si="0"/>
        <v>49.927391774891774</v>
      </c>
      <c r="N54" s="118">
        <f t="shared" si="1"/>
        <v>69.898348484848484</v>
      </c>
    </row>
    <row r="55" spans="1:14" ht="19.899999999999999" customHeight="1" x14ac:dyDescent="0.25">
      <c r="A55" s="242" t="s">
        <v>49</v>
      </c>
      <c r="B55" s="61" t="s">
        <v>56</v>
      </c>
      <c r="C55" s="70" t="s">
        <v>153</v>
      </c>
      <c r="D55" s="62">
        <v>267.26</v>
      </c>
      <c r="E55" s="63" t="s">
        <v>19</v>
      </c>
      <c r="F55" s="64">
        <f t="shared" ref="F55:F59" si="12">I55*$I$10</f>
        <v>101.93960000000001</v>
      </c>
      <c r="G55" s="243">
        <f t="shared" ref="G55:G58" si="13">(F55*D55)</f>
        <v>27244.377496000001</v>
      </c>
      <c r="I55" s="74">
        <v>104.02000000000001</v>
      </c>
      <c r="J55" s="119">
        <f>Sheet1!I97</f>
        <v>55</v>
      </c>
      <c r="K55" s="119">
        <f>Sheet1!J97</f>
        <v>12.809740259740259</v>
      </c>
      <c r="L55" s="119">
        <f>Sheet1!K97</f>
        <v>5.0893181818181823</v>
      </c>
      <c r="M55" s="118">
        <f t="shared" si="0"/>
        <v>72.899058441558452</v>
      </c>
      <c r="N55" s="118">
        <f t="shared" si="1"/>
        <v>102.05868181818182</v>
      </c>
    </row>
    <row r="56" spans="1:14" ht="30" x14ac:dyDescent="0.25">
      <c r="A56" s="242" t="s">
        <v>50</v>
      </c>
      <c r="B56" s="61" t="s">
        <v>147</v>
      </c>
      <c r="C56" s="70" t="s">
        <v>154</v>
      </c>
      <c r="D56" s="62">
        <v>54</v>
      </c>
      <c r="E56" s="63" t="s">
        <v>26</v>
      </c>
      <c r="F56" s="64">
        <f t="shared" si="12"/>
        <v>4080.6209415675376</v>
      </c>
      <c r="G56" s="243">
        <f t="shared" si="13"/>
        <v>220353.53084464703</v>
      </c>
      <c r="I56" s="74">
        <v>4163.8989199668749</v>
      </c>
      <c r="J56" s="119">
        <f>Sheet1!I98</f>
        <v>2242.1508097165993</v>
      </c>
      <c r="K56" s="119">
        <f>Sheet1!J98</f>
        <v>700</v>
      </c>
      <c r="L56" s="119">
        <f>Sheet1!K98</f>
        <v>32.062704545454544</v>
      </c>
      <c r="M56" s="118">
        <f t="shared" si="0"/>
        <v>2974.2135142620536</v>
      </c>
      <c r="N56" s="118">
        <f t="shared" si="1"/>
        <v>4163.8989199668749</v>
      </c>
    </row>
    <row r="57" spans="1:14" ht="30" x14ac:dyDescent="0.25">
      <c r="A57" s="242" t="s">
        <v>49</v>
      </c>
      <c r="B57" s="61" t="s">
        <v>148</v>
      </c>
      <c r="C57" s="70" t="s">
        <v>155</v>
      </c>
      <c r="D57" s="62">
        <v>1</v>
      </c>
      <c r="E57" s="63" t="s">
        <v>26</v>
      </c>
      <c r="F57" s="64">
        <f t="shared" si="12"/>
        <v>5810.7890336999999</v>
      </c>
      <c r="G57" s="243">
        <f t="shared" si="13"/>
        <v>5810.7890336999999</v>
      </c>
      <c r="I57" s="74">
        <v>5929.3765649999996</v>
      </c>
      <c r="J57" s="119">
        <f>480+1200+350*5</f>
        <v>3430</v>
      </c>
      <c r="K57" s="119">
        <f>K56*1.1</f>
        <v>770.00000000000011</v>
      </c>
      <c r="L57" s="119">
        <f>L56*1.1</f>
        <v>35.268975000000005</v>
      </c>
      <c r="M57" s="118">
        <f>SUM(J57:L57)</f>
        <v>4235.268975</v>
      </c>
      <c r="N57" s="118">
        <f>M57*$J$2</f>
        <v>5929.3765649999996</v>
      </c>
    </row>
    <row r="58" spans="1:14" ht="30" x14ac:dyDescent="0.25">
      <c r="A58" s="242" t="s">
        <v>50</v>
      </c>
      <c r="B58" s="61" t="s">
        <v>149</v>
      </c>
      <c r="C58" s="70" t="s">
        <v>156</v>
      </c>
      <c r="D58" s="62">
        <v>1</v>
      </c>
      <c r="E58" s="63" t="s">
        <v>26</v>
      </c>
      <c r="F58" s="64">
        <f t="shared" si="12"/>
        <v>6881.6719370699993</v>
      </c>
      <c r="G58" s="243">
        <f t="shared" si="13"/>
        <v>6881.6719370699993</v>
      </c>
      <c r="I58" s="74">
        <v>7022.1142214999991</v>
      </c>
      <c r="J58" s="119">
        <f>480+1200+350*7</f>
        <v>4130</v>
      </c>
      <c r="K58" s="119">
        <f>K57*1.1</f>
        <v>847.00000000000023</v>
      </c>
      <c r="L58" s="119">
        <f>L57*1.1</f>
        <v>38.795872500000009</v>
      </c>
      <c r="M58" s="118">
        <f>SUM(J58:L58)</f>
        <v>5015.7958724999999</v>
      </c>
      <c r="N58" s="118">
        <f>M58*$J$2</f>
        <v>7022.1142214999991</v>
      </c>
    </row>
    <row r="59" spans="1:14" ht="19.899999999999999" customHeight="1" x14ac:dyDescent="0.25">
      <c r="A59" s="242" t="s">
        <v>49</v>
      </c>
      <c r="B59" s="61" t="s">
        <v>150</v>
      </c>
      <c r="C59" s="70" t="s">
        <v>52</v>
      </c>
      <c r="D59" s="62">
        <v>709</v>
      </c>
      <c r="E59" s="63" t="s">
        <v>26</v>
      </c>
      <c r="F59" s="64">
        <f t="shared" si="12"/>
        <v>342.90199999999999</v>
      </c>
      <c r="G59" s="243">
        <f t="shared" si="11"/>
        <v>243117.51799999998</v>
      </c>
      <c r="I59" s="74">
        <v>349.9</v>
      </c>
      <c r="J59" s="119"/>
      <c r="K59" s="119"/>
      <c r="L59" s="119"/>
      <c r="M59" s="118">
        <f t="shared" ref="M59:M74" si="14">SUM(J59:L59)</f>
        <v>0</v>
      </c>
      <c r="N59" s="118">
        <f t="shared" ref="N59:N74" si="15">M59*$J$2</f>
        <v>0</v>
      </c>
    </row>
    <row r="60" spans="1:14" ht="19.899999999999999" customHeight="1" x14ac:dyDescent="0.25">
      <c r="A60" s="242" t="s">
        <v>50</v>
      </c>
      <c r="B60" s="61" t="s">
        <v>151</v>
      </c>
      <c r="C60" s="70" t="s">
        <v>157</v>
      </c>
      <c r="D60" s="62"/>
      <c r="E60" s="63"/>
      <c r="F60" s="64"/>
      <c r="G60" s="243">
        <f t="shared" si="11"/>
        <v>0</v>
      </c>
      <c r="J60" s="119"/>
      <c r="K60" s="119"/>
      <c r="L60" s="119"/>
      <c r="M60" s="118">
        <f t="shared" si="14"/>
        <v>0</v>
      </c>
      <c r="N60" s="118">
        <f t="shared" si="15"/>
        <v>0</v>
      </c>
    </row>
    <row r="61" spans="1:14" ht="19.899999999999999" customHeight="1" x14ac:dyDescent="0.25">
      <c r="A61" s="242" t="s">
        <v>49</v>
      </c>
      <c r="B61" s="61" t="s">
        <v>152</v>
      </c>
      <c r="C61" s="70" t="s">
        <v>158</v>
      </c>
      <c r="D61" s="62"/>
      <c r="E61" s="63"/>
      <c r="F61" s="64"/>
      <c r="G61" s="243">
        <f t="shared" ref="G61" si="16">(F61*D61)</f>
        <v>0</v>
      </c>
      <c r="J61" s="119"/>
      <c r="K61" s="119"/>
      <c r="L61" s="119"/>
      <c r="M61" s="118">
        <f t="shared" si="14"/>
        <v>0</v>
      </c>
      <c r="N61" s="118">
        <f t="shared" si="15"/>
        <v>0</v>
      </c>
    </row>
    <row r="62" spans="1:14" ht="22.9" customHeight="1" x14ac:dyDescent="0.25">
      <c r="A62" s="240">
        <v>5</v>
      </c>
      <c r="B62" s="75">
        <v>6</v>
      </c>
      <c r="C62" s="76" t="s">
        <v>53</v>
      </c>
      <c r="D62" s="77"/>
      <c r="E62" s="77"/>
      <c r="F62" s="77"/>
      <c r="G62" s="241">
        <f>SUBTOTAL(9,G63:G63)</f>
        <v>669663.44736200001</v>
      </c>
      <c r="J62" s="119"/>
      <c r="K62" s="119"/>
      <c r="L62" s="119"/>
      <c r="M62" s="118">
        <f t="shared" si="14"/>
        <v>0</v>
      </c>
      <c r="N62" s="118">
        <f t="shared" si="15"/>
        <v>0</v>
      </c>
    </row>
    <row r="63" spans="1:14" ht="19.899999999999999" customHeight="1" x14ac:dyDescent="0.25">
      <c r="A63" s="242" t="s">
        <v>54</v>
      </c>
      <c r="B63" s="61" t="s">
        <v>58</v>
      </c>
      <c r="C63" s="70" t="s">
        <v>55</v>
      </c>
      <c r="D63" s="62">
        <v>8679.58</v>
      </c>
      <c r="E63" s="63" t="s">
        <v>19</v>
      </c>
      <c r="F63" s="64">
        <f>I63*$I$6</f>
        <v>77.153900000000007</v>
      </c>
      <c r="G63" s="243">
        <f>(F63*D63)</f>
        <v>669663.44736200001</v>
      </c>
      <c r="I63" s="74">
        <v>76.39</v>
      </c>
      <c r="J63" s="119">
        <f>Sheet1!I32</f>
        <v>40.025999999999996</v>
      </c>
      <c r="K63" s="119">
        <f>Sheet1!J32</f>
        <v>12.5</v>
      </c>
      <c r="L63" s="119">
        <f>Sheet1!K32</f>
        <v>2.0357272727272728</v>
      </c>
      <c r="M63" s="118">
        <f t="shared" si="14"/>
        <v>54.561727272727268</v>
      </c>
      <c r="N63" s="118">
        <f t="shared" si="15"/>
        <v>76.386418181818172</v>
      </c>
    </row>
    <row r="64" spans="1:14" ht="22.9" customHeight="1" x14ac:dyDescent="0.25">
      <c r="A64" s="240">
        <v>6</v>
      </c>
      <c r="B64" s="75">
        <v>7</v>
      </c>
      <c r="C64" s="76" t="s">
        <v>57</v>
      </c>
      <c r="D64" s="77"/>
      <c r="E64" s="77"/>
      <c r="F64" s="77"/>
      <c r="G64" s="241">
        <f>G65+G72</f>
        <v>3751682.2430494642</v>
      </c>
      <c r="J64" s="119"/>
      <c r="K64" s="119"/>
      <c r="L64" s="119"/>
      <c r="M64" s="118">
        <f t="shared" si="14"/>
        <v>0</v>
      </c>
      <c r="N64" s="118">
        <f t="shared" si="15"/>
        <v>0</v>
      </c>
    </row>
    <row r="65" spans="1:17" ht="21" customHeight="1" x14ac:dyDescent="0.25">
      <c r="A65" s="244" t="s">
        <v>58</v>
      </c>
      <c r="B65" s="65" t="s">
        <v>68</v>
      </c>
      <c r="C65" s="66" t="s">
        <v>87</v>
      </c>
      <c r="D65" s="67"/>
      <c r="E65" s="68"/>
      <c r="F65" s="69"/>
      <c r="G65" s="245">
        <f>SUM(G66:G71)</f>
        <v>3672492.1119454643</v>
      </c>
      <c r="J65" s="119"/>
      <c r="K65" s="119"/>
      <c r="L65" s="119"/>
      <c r="M65" s="118">
        <f t="shared" si="14"/>
        <v>0</v>
      </c>
      <c r="N65" s="118">
        <f t="shared" si="15"/>
        <v>0</v>
      </c>
    </row>
    <row r="66" spans="1:17" ht="19.899999999999999" customHeight="1" x14ac:dyDescent="0.25">
      <c r="A66" s="242" t="s">
        <v>59</v>
      </c>
      <c r="B66" s="61" t="s">
        <v>69</v>
      </c>
      <c r="C66" s="70" t="s">
        <v>60</v>
      </c>
      <c r="D66" s="62">
        <v>43670.68</v>
      </c>
      <c r="E66" s="63" t="s">
        <v>8</v>
      </c>
      <c r="F66" s="64">
        <f t="shared" ref="F66:F71" si="17">I66*$I$6</f>
        <v>5.5549999999999997</v>
      </c>
      <c r="G66" s="243">
        <f t="shared" ref="G66:G71" si="18">(F66*D66)</f>
        <v>242590.6274</v>
      </c>
      <c r="I66" s="74">
        <v>5.5</v>
      </c>
      <c r="J66" s="119">
        <f>Sheet1!I26</f>
        <v>0</v>
      </c>
      <c r="K66" s="119">
        <f>Sheet1!J26</f>
        <v>0</v>
      </c>
      <c r="L66" s="119">
        <f>I66/1.4</f>
        <v>3.9285714285714288</v>
      </c>
      <c r="M66" s="118">
        <f t="shared" si="14"/>
        <v>3.9285714285714288</v>
      </c>
      <c r="N66" s="118">
        <f t="shared" si="15"/>
        <v>5.5</v>
      </c>
    </row>
    <row r="67" spans="1:17" ht="19.899999999999999" customHeight="1" x14ac:dyDescent="0.25">
      <c r="A67" s="242" t="s">
        <v>61</v>
      </c>
      <c r="B67" s="61" t="s">
        <v>70</v>
      </c>
      <c r="C67" s="70" t="s">
        <v>83</v>
      </c>
      <c r="D67" s="62">
        <v>43670.68</v>
      </c>
      <c r="E67" s="63" t="s">
        <v>8</v>
      </c>
      <c r="F67" s="64">
        <f t="shared" si="17"/>
        <v>4.5753000000000004</v>
      </c>
      <c r="G67" s="243">
        <f t="shared" si="18"/>
        <v>199806.46220400001</v>
      </c>
      <c r="I67" s="74">
        <v>4.53</v>
      </c>
      <c r="J67" s="119">
        <f>Sheet1!I27</f>
        <v>0</v>
      </c>
      <c r="K67" s="119">
        <f>Sheet1!J27</f>
        <v>0</v>
      </c>
      <c r="L67" s="119">
        <f>Sheet1!K27*0.15</f>
        <v>3.2353812499999997</v>
      </c>
      <c r="M67" s="118">
        <f t="shared" si="14"/>
        <v>3.2353812499999997</v>
      </c>
      <c r="N67" s="118">
        <f t="shared" si="15"/>
        <v>4.5295337499999988</v>
      </c>
    </row>
    <row r="68" spans="1:17" ht="19.899999999999999" customHeight="1" x14ac:dyDescent="0.25">
      <c r="A68" s="242" t="s">
        <v>62</v>
      </c>
      <c r="B68" s="61" t="s">
        <v>71</v>
      </c>
      <c r="C68" s="70" t="s">
        <v>159</v>
      </c>
      <c r="D68" s="62">
        <v>43670.68</v>
      </c>
      <c r="E68" s="63" t="s">
        <v>8</v>
      </c>
      <c r="F68" s="64">
        <f t="shared" si="17"/>
        <v>3.0502000000000002</v>
      </c>
      <c r="G68" s="243">
        <f t="shared" si="18"/>
        <v>133204.30813600001</v>
      </c>
      <c r="I68" s="74">
        <v>3.02</v>
      </c>
      <c r="J68" s="119">
        <f>Sheet1!I27</f>
        <v>0</v>
      </c>
      <c r="K68" s="119">
        <f>Sheet1!J27</f>
        <v>0</v>
      </c>
      <c r="L68" s="119">
        <f>Sheet1!K27*0.1</f>
        <v>2.1569208333333334</v>
      </c>
      <c r="M68" s="118">
        <f t="shared" si="14"/>
        <v>2.1569208333333334</v>
      </c>
      <c r="N68" s="118">
        <f t="shared" si="15"/>
        <v>3.0196891666666668</v>
      </c>
    </row>
    <row r="69" spans="1:17" ht="19.899999999999999" customHeight="1" x14ac:dyDescent="0.25">
      <c r="A69" s="242" t="s">
        <v>63</v>
      </c>
      <c r="B69" s="61" t="s">
        <v>72</v>
      </c>
      <c r="C69" s="70" t="s">
        <v>160</v>
      </c>
      <c r="D69" s="62">
        <v>41066.805999999997</v>
      </c>
      <c r="E69" s="63" t="s">
        <v>8</v>
      </c>
      <c r="F69" s="64">
        <f t="shared" si="17"/>
        <v>22.553300000000004</v>
      </c>
      <c r="G69" s="243">
        <f t="shared" si="18"/>
        <v>926191.99575980008</v>
      </c>
      <c r="I69" s="74">
        <v>22.330000000000002</v>
      </c>
      <c r="J69" s="119">
        <f>Sheet1!I28*0.1</f>
        <v>6.6000000000000005</v>
      </c>
      <c r="K69" s="119">
        <f>Sheet1!J28*0.1</f>
        <v>2.9472045454545457</v>
      </c>
      <c r="L69" s="119">
        <f>Sheet1!K28*0.1</f>
        <v>6.4</v>
      </c>
      <c r="M69" s="118">
        <f t="shared" si="14"/>
        <v>15.947204545454547</v>
      </c>
      <c r="N69" s="118">
        <f t="shared" si="15"/>
        <v>22.326086363636364</v>
      </c>
      <c r="P69" s="74">
        <f>D69/3</f>
        <v>13688.935333333333</v>
      </c>
    </row>
    <row r="70" spans="1:17" ht="19.899999999999999" customHeight="1" x14ac:dyDescent="0.25">
      <c r="A70" s="242" t="s">
        <v>64</v>
      </c>
      <c r="B70" s="61" t="s">
        <v>73</v>
      </c>
      <c r="C70" s="70" t="s">
        <v>65</v>
      </c>
      <c r="D70" s="62">
        <v>41066.805999999997</v>
      </c>
      <c r="E70" s="63" t="s">
        <v>8</v>
      </c>
      <c r="F70" s="64">
        <f t="shared" si="17"/>
        <v>4.1712999999999996</v>
      </c>
      <c r="G70" s="243">
        <f t="shared" si="18"/>
        <v>171301.96786779998</v>
      </c>
      <c r="I70" s="74">
        <v>4.13</v>
      </c>
      <c r="J70" s="119">
        <f>Sheet1!I30</f>
        <v>2.4</v>
      </c>
      <c r="K70" s="119">
        <f>Sheet1!J30</f>
        <v>0.3</v>
      </c>
      <c r="L70" s="119">
        <f>Sheet1!K30</f>
        <v>0.2493181818181818</v>
      </c>
      <c r="M70" s="118">
        <f t="shared" si="14"/>
        <v>2.9493181818181817</v>
      </c>
      <c r="N70" s="118">
        <f t="shared" si="15"/>
        <v>4.1290454545454542</v>
      </c>
    </row>
    <row r="71" spans="1:17" ht="19.899999999999999" customHeight="1" x14ac:dyDescent="0.25">
      <c r="A71" s="242" t="s">
        <v>66</v>
      </c>
      <c r="B71" s="61" t="s">
        <v>74</v>
      </c>
      <c r="C71" s="70" t="s">
        <v>86</v>
      </c>
      <c r="D71" s="62">
        <v>41066.805999999997</v>
      </c>
      <c r="E71" s="63" t="s">
        <v>8</v>
      </c>
      <c r="F71" s="64">
        <f t="shared" si="17"/>
        <v>48.686444000000002</v>
      </c>
      <c r="G71" s="243">
        <f t="shared" si="18"/>
        <v>1999396.750577864</v>
      </c>
      <c r="I71" s="74">
        <v>48.2044</v>
      </c>
      <c r="J71" s="119">
        <f>Sheet1!I31*0.03</f>
        <v>27.734400000000001</v>
      </c>
      <c r="K71" s="119">
        <f>Sheet1!J31*0.03</f>
        <v>2.25</v>
      </c>
      <c r="L71" s="119">
        <f>Sheet1!K31*0.03</f>
        <v>4.4459999999999997</v>
      </c>
      <c r="M71" s="118">
        <f t="shared" si="14"/>
        <v>34.430399999999999</v>
      </c>
      <c r="N71" s="118">
        <f t="shared" si="15"/>
        <v>48.202559999999998</v>
      </c>
    </row>
    <row r="72" spans="1:17" ht="22.9" customHeight="1" x14ac:dyDescent="0.25">
      <c r="A72" s="240">
        <v>7</v>
      </c>
      <c r="B72" s="75">
        <v>8</v>
      </c>
      <c r="C72" s="76" t="s">
        <v>67</v>
      </c>
      <c r="D72" s="77"/>
      <c r="E72" s="77"/>
      <c r="F72" s="77"/>
      <c r="G72" s="241">
        <f>SUM(G73:G74)</f>
        <v>79190.131104000029</v>
      </c>
      <c r="J72" s="119"/>
      <c r="K72" s="119"/>
      <c r="L72" s="119"/>
      <c r="M72" s="118">
        <f t="shared" si="14"/>
        <v>0</v>
      </c>
      <c r="N72" s="118">
        <f t="shared" si="15"/>
        <v>0</v>
      </c>
    </row>
    <row r="73" spans="1:17" ht="19.899999999999999" customHeight="1" x14ac:dyDescent="0.25">
      <c r="A73" s="242" t="s">
        <v>69</v>
      </c>
      <c r="B73" s="61" t="s">
        <v>75</v>
      </c>
      <c r="C73" s="70" t="s">
        <v>162</v>
      </c>
      <c r="D73" s="62">
        <v>1072.8800000000001</v>
      </c>
      <c r="E73" s="63" t="s">
        <v>8</v>
      </c>
      <c r="F73" s="64">
        <f>I73*$I$6</f>
        <v>73.810800000000015</v>
      </c>
      <c r="G73" s="243">
        <f t="shared" ref="G73:G74" si="19">(F73*D73)</f>
        <v>79190.131104000029</v>
      </c>
      <c r="I73" s="74">
        <v>73.080000000000013</v>
      </c>
      <c r="J73" s="119"/>
      <c r="K73" s="119"/>
      <c r="L73" s="119"/>
      <c r="M73" s="118">
        <f t="shared" si="14"/>
        <v>0</v>
      </c>
      <c r="N73" s="118">
        <f t="shared" si="15"/>
        <v>0</v>
      </c>
    </row>
    <row r="74" spans="1:17" ht="19.899999999999999" customHeight="1" x14ac:dyDescent="0.25">
      <c r="A74" s="242" t="s">
        <v>70</v>
      </c>
      <c r="B74" s="61" t="s">
        <v>161</v>
      </c>
      <c r="C74" s="70" t="s">
        <v>163</v>
      </c>
      <c r="D74" s="62"/>
      <c r="E74" s="63"/>
      <c r="F74" s="64"/>
      <c r="G74" s="243">
        <f t="shared" si="19"/>
        <v>0</v>
      </c>
      <c r="J74" s="119"/>
      <c r="K74" s="119"/>
      <c r="L74" s="119"/>
      <c r="M74" s="118">
        <f t="shared" si="14"/>
        <v>0</v>
      </c>
      <c r="N74" s="118">
        <f t="shared" si="15"/>
        <v>0</v>
      </c>
    </row>
    <row r="75" spans="1:17" s="79" customFormat="1" ht="24" customHeight="1" thickBot="1" x14ac:dyDescent="0.4">
      <c r="A75" s="292" t="s">
        <v>5</v>
      </c>
      <c r="B75" s="293"/>
      <c r="C75" s="293"/>
      <c r="D75" s="288">
        <f>G10+G14+G30+G52+G62+G65+G72+G6</f>
        <v>7889879.9959782809</v>
      </c>
      <c r="E75" s="288"/>
      <c r="F75" s="288"/>
      <c r="G75" s="289"/>
      <c r="H75" s="78"/>
      <c r="I75" s="78"/>
      <c r="J75" s="120"/>
      <c r="K75" s="120"/>
      <c r="L75" s="120"/>
      <c r="M75" s="120"/>
      <c r="N75" s="120"/>
      <c r="O75" s="78"/>
      <c r="P75" s="78"/>
      <c r="Q75" s="78"/>
    </row>
    <row r="76" spans="1:17" ht="15.75" thickTop="1" x14ac:dyDescent="0.25"/>
    <row r="77" spans="1:17" x14ac:dyDescent="0.25">
      <c r="G77" s="127">
        <f>G72+G65+G62+G53+G49+G31+G15+G10+G6</f>
        <v>7889879.99597828</v>
      </c>
    </row>
    <row r="78" spans="1:17" x14ac:dyDescent="0.25">
      <c r="F78" s="127"/>
    </row>
  </sheetData>
  <mergeCells count="8">
    <mergeCell ref="E2:G2"/>
    <mergeCell ref="D75:G75"/>
    <mergeCell ref="E1:G1"/>
    <mergeCell ref="A75:C75"/>
    <mergeCell ref="A5:C5"/>
    <mergeCell ref="A1:A3"/>
    <mergeCell ref="C1:C3"/>
    <mergeCell ref="B1:B3"/>
  </mergeCells>
  <phoneticPr fontId="17" type="noConversion"/>
  <printOptions horizontalCentered="1"/>
  <pageMargins left="0.51181102362204722" right="0.51181102362204722" top="0.98425196850393704" bottom="0.78740157480314965" header="0.31496062992125984" footer="0.31496062992125984"/>
  <pageSetup paperSize="9" scale="50" fitToHeight="0" orientation="portrait" r:id="rId1"/>
  <headerFooter>
    <oddHeader>&amp;R&amp;G</oddHeader>
    <oddFooter>&amp;C&amp;16Av. João Olímpio de Oliveira, nº 13 – Vila Asem – Itapetininga/SP.
F.: +55 015 99625-5365
comercial@af2engenhariaeservicos.com.br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8E6A0-8A20-4A96-A968-0E3215AA4A4D}">
  <dimension ref="A1:G70"/>
  <sheetViews>
    <sheetView topLeftCell="A16" workbookViewId="0">
      <selection activeCell="D30" sqref="D30"/>
    </sheetView>
  </sheetViews>
  <sheetFormatPr defaultRowHeight="15" x14ac:dyDescent="0.25"/>
  <cols>
    <col min="1" max="1" width="6.140625" style="284" bestFit="1" customWidth="1"/>
    <col min="2" max="2" width="99.5703125" bestFit="1" customWidth="1"/>
    <col min="3" max="3" width="5.5703125" bestFit="1" customWidth="1"/>
    <col min="4" max="5" width="9" bestFit="1" customWidth="1"/>
    <col min="7" max="7" width="10.7109375" bestFit="1" customWidth="1"/>
  </cols>
  <sheetData>
    <row r="1" spans="1:7" x14ac:dyDescent="0.25">
      <c r="A1" s="284" t="s">
        <v>458</v>
      </c>
      <c r="B1" t="s">
        <v>459</v>
      </c>
      <c r="C1" t="s">
        <v>465</v>
      </c>
      <c r="D1" t="s">
        <v>460</v>
      </c>
      <c r="E1" t="s">
        <v>461</v>
      </c>
      <c r="F1" t="s">
        <v>462</v>
      </c>
      <c r="G1" t="s">
        <v>463</v>
      </c>
    </row>
    <row r="2" spans="1:7" x14ac:dyDescent="0.25">
      <c r="A2" s="284">
        <v>1</v>
      </c>
      <c r="B2" t="s">
        <v>88</v>
      </c>
      <c r="F2" t="s">
        <v>464</v>
      </c>
      <c r="G2" s="285">
        <v>45589</v>
      </c>
    </row>
    <row r="3" spans="1:7" x14ac:dyDescent="0.25">
      <c r="A3" s="284" t="s">
        <v>7</v>
      </c>
      <c r="B3" t="s">
        <v>103</v>
      </c>
      <c r="C3" t="s">
        <v>32</v>
      </c>
      <c r="D3">
        <v>12000</v>
      </c>
      <c r="E3">
        <v>12000</v>
      </c>
      <c r="F3" t="s">
        <v>464</v>
      </c>
      <c r="G3" s="285">
        <v>45589</v>
      </c>
    </row>
    <row r="4" spans="1:7" x14ac:dyDescent="0.25">
      <c r="A4" s="284" t="s">
        <v>9</v>
      </c>
      <c r="B4" t="s">
        <v>104</v>
      </c>
      <c r="C4" t="s">
        <v>11</v>
      </c>
      <c r="D4">
        <v>460</v>
      </c>
      <c r="E4">
        <v>460</v>
      </c>
      <c r="F4" t="s">
        <v>464</v>
      </c>
      <c r="G4" s="285">
        <v>45589</v>
      </c>
    </row>
    <row r="5" spans="1:7" x14ac:dyDescent="0.25">
      <c r="A5" s="284" t="s">
        <v>12</v>
      </c>
      <c r="B5" t="s">
        <v>178</v>
      </c>
      <c r="E5" t="s">
        <v>457</v>
      </c>
      <c r="F5" t="s">
        <v>464</v>
      </c>
      <c r="G5" s="285">
        <v>45589</v>
      </c>
    </row>
    <row r="6" spans="1:7" x14ac:dyDescent="0.25">
      <c r="A6" s="284">
        <v>1</v>
      </c>
      <c r="B6" t="s">
        <v>6</v>
      </c>
      <c r="F6" t="s">
        <v>464</v>
      </c>
      <c r="G6" s="285">
        <v>45589</v>
      </c>
    </row>
    <row r="7" spans="1:7" x14ac:dyDescent="0.25">
      <c r="A7" s="284" t="s">
        <v>7</v>
      </c>
      <c r="B7" t="s">
        <v>10</v>
      </c>
      <c r="C7" t="s">
        <v>11</v>
      </c>
      <c r="D7">
        <v>7.92</v>
      </c>
      <c r="E7">
        <v>7.92</v>
      </c>
      <c r="F7" t="s">
        <v>464</v>
      </c>
      <c r="G7" s="285">
        <v>45589</v>
      </c>
    </row>
    <row r="8" spans="1:7" x14ac:dyDescent="0.25">
      <c r="A8" s="284" t="s">
        <v>9</v>
      </c>
      <c r="B8" t="s">
        <v>13</v>
      </c>
      <c r="C8" t="s">
        <v>11</v>
      </c>
      <c r="D8">
        <v>5.46</v>
      </c>
      <c r="E8">
        <v>5.46</v>
      </c>
      <c r="F8" t="s">
        <v>464</v>
      </c>
      <c r="G8" s="285">
        <v>45589</v>
      </c>
    </row>
    <row r="9" spans="1:7" x14ac:dyDescent="0.25">
      <c r="A9" s="284" t="s">
        <v>12</v>
      </c>
      <c r="B9" t="s">
        <v>14</v>
      </c>
      <c r="C9" t="s">
        <v>11</v>
      </c>
      <c r="D9">
        <v>13.67</v>
      </c>
      <c r="E9">
        <v>13.67</v>
      </c>
      <c r="F9" t="s">
        <v>464</v>
      </c>
      <c r="G9" s="285">
        <v>45589</v>
      </c>
    </row>
    <row r="10" spans="1:7" x14ac:dyDescent="0.25">
      <c r="A10" s="284">
        <v>3</v>
      </c>
      <c r="B10" t="s">
        <v>15</v>
      </c>
      <c r="E10" t="s">
        <v>457</v>
      </c>
      <c r="F10" t="s">
        <v>464</v>
      </c>
      <c r="G10" s="285">
        <v>45589</v>
      </c>
    </row>
    <row r="11" spans="1:7" x14ac:dyDescent="0.25">
      <c r="A11" s="284" t="s">
        <v>34</v>
      </c>
      <c r="B11" t="s">
        <v>17</v>
      </c>
      <c r="E11" t="s">
        <v>457</v>
      </c>
      <c r="F11" t="s">
        <v>464</v>
      </c>
      <c r="G11" s="285">
        <v>45589</v>
      </c>
    </row>
    <row r="12" spans="1:7" x14ac:dyDescent="0.25">
      <c r="A12" s="284" t="s">
        <v>35</v>
      </c>
      <c r="B12" t="s">
        <v>108</v>
      </c>
      <c r="C12" t="s">
        <v>19</v>
      </c>
      <c r="D12">
        <v>215.35</v>
      </c>
      <c r="E12">
        <v>215.35</v>
      </c>
      <c r="F12" t="s">
        <v>464</v>
      </c>
      <c r="G12" s="285">
        <v>45589</v>
      </c>
    </row>
    <row r="13" spans="1:7" x14ac:dyDescent="0.25">
      <c r="A13" s="284" t="s">
        <v>36</v>
      </c>
      <c r="B13" t="s">
        <v>109</v>
      </c>
      <c r="C13" t="s">
        <v>19</v>
      </c>
      <c r="D13">
        <v>308.81</v>
      </c>
      <c r="E13">
        <v>308.81</v>
      </c>
      <c r="F13" t="s">
        <v>464</v>
      </c>
      <c r="G13" s="285">
        <v>45589</v>
      </c>
    </row>
    <row r="14" spans="1:7" x14ac:dyDescent="0.25">
      <c r="A14" s="284" t="s">
        <v>37</v>
      </c>
      <c r="B14" t="s">
        <v>110</v>
      </c>
      <c r="C14" t="s">
        <v>19</v>
      </c>
      <c r="D14">
        <v>849.22</v>
      </c>
      <c r="E14">
        <v>849.22</v>
      </c>
      <c r="F14" t="s">
        <v>464</v>
      </c>
      <c r="G14" s="285">
        <v>45589</v>
      </c>
    </row>
    <row r="15" spans="1:7" x14ac:dyDescent="0.25">
      <c r="A15" s="284" t="s">
        <v>38</v>
      </c>
      <c r="B15" t="s">
        <v>111</v>
      </c>
      <c r="C15" t="s">
        <v>19</v>
      </c>
      <c r="D15">
        <v>1318.69</v>
      </c>
      <c r="E15">
        <v>1318.69</v>
      </c>
      <c r="F15" t="s">
        <v>464</v>
      </c>
      <c r="G15" s="285">
        <v>45589</v>
      </c>
    </row>
    <row r="16" spans="1:7" x14ac:dyDescent="0.25">
      <c r="A16" s="284" t="s">
        <v>39</v>
      </c>
      <c r="B16" t="s">
        <v>25</v>
      </c>
      <c r="C16" t="s">
        <v>26</v>
      </c>
      <c r="D16">
        <v>2417.33</v>
      </c>
      <c r="E16">
        <v>2417.33</v>
      </c>
      <c r="F16" t="s">
        <v>464</v>
      </c>
      <c r="G16" s="285">
        <v>45589</v>
      </c>
    </row>
    <row r="17" spans="1:7" x14ac:dyDescent="0.25">
      <c r="A17" s="284" t="s">
        <v>40</v>
      </c>
      <c r="B17" t="s">
        <v>76</v>
      </c>
      <c r="C17" t="s">
        <v>26</v>
      </c>
      <c r="D17">
        <v>4422.42</v>
      </c>
      <c r="E17">
        <v>4422.42</v>
      </c>
      <c r="F17" t="s">
        <v>464</v>
      </c>
      <c r="G17" s="285">
        <v>45589</v>
      </c>
    </row>
    <row r="18" spans="1:7" x14ac:dyDescent="0.25">
      <c r="A18" s="284" t="s">
        <v>41</v>
      </c>
      <c r="B18" t="s">
        <v>77</v>
      </c>
      <c r="C18" t="s">
        <v>26</v>
      </c>
      <c r="D18">
        <v>4163.8999999999996</v>
      </c>
      <c r="E18">
        <v>4163.8999999999996</v>
      </c>
      <c r="F18" t="s">
        <v>464</v>
      </c>
      <c r="G18" s="285">
        <v>45589</v>
      </c>
    </row>
    <row r="19" spans="1:7" x14ac:dyDescent="0.25">
      <c r="A19" s="284" t="s">
        <v>42</v>
      </c>
      <c r="B19" t="s">
        <v>78</v>
      </c>
      <c r="C19" t="s">
        <v>26</v>
      </c>
      <c r="D19">
        <v>4163.8999999999996</v>
      </c>
      <c r="E19">
        <v>4163.8999999999996</v>
      </c>
      <c r="F19" t="s">
        <v>464</v>
      </c>
      <c r="G19" s="285">
        <v>45589</v>
      </c>
    </row>
    <row r="20" spans="1:7" x14ac:dyDescent="0.25">
      <c r="A20" s="284" t="s">
        <v>43</v>
      </c>
      <c r="B20" t="s">
        <v>79</v>
      </c>
      <c r="C20" t="s">
        <v>26</v>
      </c>
      <c r="D20">
        <v>4163.8999999999996</v>
      </c>
      <c r="E20">
        <v>4163.8999999999996</v>
      </c>
      <c r="F20" t="s">
        <v>464</v>
      </c>
      <c r="G20" s="285">
        <v>45589</v>
      </c>
    </row>
    <row r="21" spans="1:7" x14ac:dyDescent="0.25">
      <c r="A21" s="284" t="s">
        <v>117</v>
      </c>
      <c r="B21" t="s">
        <v>112</v>
      </c>
      <c r="C21" t="s">
        <v>26</v>
      </c>
      <c r="D21">
        <v>4163.8999999999996</v>
      </c>
      <c r="E21">
        <v>4163.8999999999996</v>
      </c>
      <c r="F21" t="s">
        <v>464</v>
      </c>
      <c r="G21" s="285">
        <v>45589</v>
      </c>
    </row>
    <row r="22" spans="1:7" x14ac:dyDescent="0.25">
      <c r="A22" s="284" t="s">
        <v>118</v>
      </c>
      <c r="B22" t="s">
        <v>113</v>
      </c>
      <c r="C22" t="s">
        <v>26</v>
      </c>
      <c r="D22">
        <v>8844.43</v>
      </c>
      <c r="E22">
        <v>8844.43</v>
      </c>
      <c r="F22" t="s">
        <v>464</v>
      </c>
      <c r="G22" s="285">
        <v>45589</v>
      </c>
    </row>
    <row r="23" spans="1:7" x14ac:dyDescent="0.25">
      <c r="A23" s="284" t="s">
        <v>119</v>
      </c>
      <c r="B23" t="s">
        <v>114</v>
      </c>
      <c r="C23" t="s">
        <v>26</v>
      </c>
      <c r="D23">
        <v>8844.43</v>
      </c>
      <c r="E23">
        <v>8844.43</v>
      </c>
      <c r="F23" t="s">
        <v>464</v>
      </c>
      <c r="G23" s="285">
        <v>45589</v>
      </c>
    </row>
    <row r="24" spans="1:7" x14ac:dyDescent="0.25">
      <c r="A24" s="284" t="s">
        <v>120</v>
      </c>
      <c r="B24" t="s">
        <v>115</v>
      </c>
      <c r="E24" t="s">
        <v>457</v>
      </c>
      <c r="F24" t="s">
        <v>464</v>
      </c>
      <c r="G24" s="285">
        <v>45589</v>
      </c>
    </row>
    <row r="25" spans="1:7" x14ac:dyDescent="0.25">
      <c r="A25" s="284" t="s">
        <v>121</v>
      </c>
      <c r="B25" t="s">
        <v>116</v>
      </c>
      <c r="E25" t="s">
        <v>457</v>
      </c>
      <c r="F25" t="s">
        <v>464</v>
      </c>
      <c r="G25" s="285">
        <v>45589</v>
      </c>
    </row>
    <row r="26" spans="1:7" x14ac:dyDescent="0.25">
      <c r="A26" s="284">
        <v>4</v>
      </c>
      <c r="B26" t="s">
        <v>33</v>
      </c>
      <c r="E26" t="s">
        <v>457</v>
      </c>
      <c r="F26" t="s">
        <v>464</v>
      </c>
      <c r="G26" s="285">
        <v>45589</v>
      </c>
    </row>
    <row r="27" spans="1:7" x14ac:dyDescent="0.25">
      <c r="A27" s="284" t="s">
        <v>46</v>
      </c>
      <c r="B27" t="s">
        <v>17</v>
      </c>
      <c r="E27" t="s">
        <v>457</v>
      </c>
      <c r="F27" t="s">
        <v>464</v>
      </c>
      <c r="G27" s="285">
        <v>45589</v>
      </c>
    </row>
    <row r="28" spans="1:7" x14ac:dyDescent="0.25">
      <c r="A28" s="284" t="s">
        <v>47</v>
      </c>
      <c r="B28" t="s">
        <v>122</v>
      </c>
      <c r="C28" t="s">
        <v>19</v>
      </c>
      <c r="D28">
        <v>35.65</v>
      </c>
      <c r="E28">
        <v>35.65</v>
      </c>
      <c r="F28" t="s">
        <v>464</v>
      </c>
      <c r="G28" s="285">
        <v>45589</v>
      </c>
    </row>
    <row r="29" spans="1:7" x14ac:dyDescent="0.25">
      <c r="A29" s="284" t="s">
        <v>49</v>
      </c>
      <c r="B29" t="s">
        <v>123</v>
      </c>
      <c r="C29" t="s">
        <v>19</v>
      </c>
      <c r="D29">
        <v>50.33</v>
      </c>
      <c r="E29">
        <v>50.33</v>
      </c>
      <c r="F29" t="s">
        <v>464</v>
      </c>
      <c r="G29" s="285">
        <v>45589</v>
      </c>
    </row>
    <row r="30" spans="1:7" x14ac:dyDescent="0.25">
      <c r="A30" s="284" t="s">
        <v>50</v>
      </c>
      <c r="B30" t="s">
        <v>80</v>
      </c>
      <c r="C30" t="s">
        <v>19</v>
      </c>
      <c r="D30">
        <v>70.349999999999994</v>
      </c>
      <c r="E30">
        <v>70.349999999999994</v>
      </c>
      <c r="F30" t="s">
        <v>464</v>
      </c>
      <c r="G30" s="285">
        <v>45589</v>
      </c>
    </row>
    <row r="31" spans="1:7" x14ac:dyDescent="0.25">
      <c r="A31" s="284" t="s">
        <v>51</v>
      </c>
      <c r="B31" t="s">
        <v>124</v>
      </c>
      <c r="C31" t="s">
        <v>19</v>
      </c>
      <c r="D31">
        <v>117.28</v>
      </c>
      <c r="E31">
        <v>117.28</v>
      </c>
      <c r="F31" t="s">
        <v>464</v>
      </c>
      <c r="G31" s="285">
        <v>45589</v>
      </c>
    </row>
    <row r="32" spans="1:7" x14ac:dyDescent="0.25">
      <c r="A32" s="284" t="s">
        <v>134</v>
      </c>
      <c r="B32" t="s">
        <v>125</v>
      </c>
      <c r="C32" t="s">
        <v>26</v>
      </c>
      <c r="D32">
        <v>854.78</v>
      </c>
      <c r="E32">
        <v>854.78</v>
      </c>
      <c r="F32" t="s">
        <v>464</v>
      </c>
      <c r="G32" s="285">
        <v>45589</v>
      </c>
    </row>
    <row r="33" spans="1:7" x14ac:dyDescent="0.25">
      <c r="A33" s="284" t="s">
        <v>135</v>
      </c>
      <c r="B33" t="s">
        <v>126</v>
      </c>
      <c r="C33" t="s">
        <v>26</v>
      </c>
      <c r="D33">
        <v>957.26</v>
      </c>
      <c r="E33">
        <v>957.26</v>
      </c>
      <c r="F33" t="s">
        <v>464</v>
      </c>
      <c r="G33" s="285">
        <v>45589</v>
      </c>
    </row>
    <row r="34" spans="1:7" x14ac:dyDescent="0.25">
      <c r="A34" s="284" t="s">
        <v>136</v>
      </c>
      <c r="B34" t="s">
        <v>44</v>
      </c>
      <c r="C34" t="s">
        <v>26</v>
      </c>
      <c r="D34">
        <v>1268.18</v>
      </c>
      <c r="E34">
        <v>1268.18</v>
      </c>
      <c r="F34" t="s">
        <v>464</v>
      </c>
      <c r="G34" s="285">
        <v>45589</v>
      </c>
    </row>
    <row r="35" spans="1:7" x14ac:dyDescent="0.25">
      <c r="A35" s="284" t="s">
        <v>137</v>
      </c>
      <c r="B35" t="s">
        <v>81</v>
      </c>
      <c r="C35" t="s">
        <v>26</v>
      </c>
      <c r="D35">
        <v>2194</v>
      </c>
      <c r="E35">
        <v>2194</v>
      </c>
      <c r="F35" t="s">
        <v>464</v>
      </c>
      <c r="G35" s="285">
        <v>45589</v>
      </c>
    </row>
    <row r="36" spans="1:7" x14ac:dyDescent="0.25">
      <c r="A36" s="284" t="s">
        <v>138</v>
      </c>
      <c r="B36" t="s">
        <v>127</v>
      </c>
      <c r="C36" t="s">
        <v>26</v>
      </c>
      <c r="D36">
        <v>504</v>
      </c>
      <c r="E36">
        <v>504</v>
      </c>
      <c r="F36" t="s">
        <v>464</v>
      </c>
      <c r="G36" s="285">
        <v>45589</v>
      </c>
    </row>
    <row r="37" spans="1:7" x14ac:dyDescent="0.25">
      <c r="A37" s="284" t="s">
        <v>139</v>
      </c>
      <c r="B37" t="s">
        <v>82</v>
      </c>
      <c r="C37" t="s">
        <v>26</v>
      </c>
      <c r="D37">
        <v>9443</v>
      </c>
      <c r="E37">
        <v>9443</v>
      </c>
      <c r="F37" t="s">
        <v>464</v>
      </c>
      <c r="G37" s="285">
        <v>45589</v>
      </c>
    </row>
    <row r="38" spans="1:7" x14ac:dyDescent="0.25">
      <c r="A38" s="284" t="s">
        <v>140</v>
      </c>
      <c r="B38" t="s">
        <v>128</v>
      </c>
      <c r="E38" t="s">
        <v>457</v>
      </c>
      <c r="F38" t="s">
        <v>464</v>
      </c>
      <c r="G38" s="285">
        <v>45589</v>
      </c>
    </row>
    <row r="39" spans="1:7" x14ac:dyDescent="0.25">
      <c r="A39" s="284" t="s">
        <v>141</v>
      </c>
      <c r="B39" t="s">
        <v>129</v>
      </c>
      <c r="E39" t="s">
        <v>457</v>
      </c>
      <c r="F39" t="s">
        <v>464</v>
      </c>
      <c r="G39" s="285">
        <v>45589</v>
      </c>
    </row>
    <row r="40" spans="1:7" x14ac:dyDescent="0.25">
      <c r="A40" s="284" t="s">
        <v>142</v>
      </c>
      <c r="B40" t="s">
        <v>130</v>
      </c>
      <c r="E40" t="s">
        <v>457</v>
      </c>
      <c r="F40" t="s">
        <v>464</v>
      </c>
      <c r="G40" s="285">
        <v>45589</v>
      </c>
    </row>
    <row r="41" spans="1:7" x14ac:dyDescent="0.25">
      <c r="A41" s="284" t="s">
        <v>143</v>
      </c>
      <c r="B41" t="s">
        <v>131</v>
      </c>
      <c r="E41" t="s">
        <v>457</v>
      </c>
      <c r="F41" t="s">
        <v>464</v>
      </c>
      <c r="G41" s="285">
        <v>45589</v>
      </c>
    </row>
    <row r="42" spans="1:7" x14ac:dyDescent="0.25">
      <c r="A42" s="284" t="s">
        <v>144</v>
      </c>
      <c r="B42" t="s">
        <v>132</v>
      </c>
      <c r="E42" t="s">
        <v>457</v>
      </c>
      <c r="F42" t="s">
        <v>464</v>
      </c>
      <c r="G42" s="285">
        <v>45589</v>
      </c>
    </row>
    <row r="43" spans="1:7" x14ac:dyDescent="0.25">
      <c r="A43" s="284" t="s">
        <v>145</v>
      </c>
      <c r="B43" t="s">
        <v>133</v>
      </c>
      <c r="E43" t="s">
        <v>457</v>
      </c>
      <c r="F43" t="s">
        <v>464</v>
      </c>
      <c r="G43" s="285">
        <v>45589</v>
      </c>
    </row>
    <row r="44" spans="1:7" x14ac:dyDescent="0.25">
      <c r="A44" s="284" t="s">
        <v>146</v>
      </c>
      <c r="E44" t="s">
        <v>457</v>
      </c>
      <c r="F44" t="s">
        <v>464</v>
      </c>
      <c r="G44" s="285">
        <v>45589</v>
      </c>
    </row>
    <row r="45" spans="1:7" x14ac:dyDescent="0.25">
      <c r="A45" s="284" t="s">
        <v>89</v>
      </c>
      <c r="B45" t="s">
        <v>166</v>
      </c>
      <c r="E45" t="s">
        <v>457</v>
      </c>
      <c r="F45" t="s">
        <v>464</v>
      </c>
      <c r="G45" s="285">
        <v>45589</v>
      </c>
    </row>
    <row r="46" spans="1:7" x14ac:dyDescent="0.25">
      <c r="A46" s="284" t="s">
        <v>47</v>
      </c>
      <c r="B46" t="s">
        <v>167</v>
      </c>
      <c r="C46" t="s">
        <v>19</v>
      </c>
      <c r="D46">
        <v>8411.2000000000007</v>
      </c>
      <c r="E46">
        <v>8411.2000000000007</v>
      </c>
      <c r="F46" t="s">
        <v>464</v>
      </c>
      <c r="G46" s="285">
        <v>45589</v>
      </c>
    </row>
    <row r="47" spans="1:7" x14ac:dyDescent="0.25">
      <c r="A47" s="284" t="s">
        <v>49</v>
      </c>
      <c r="B47" t="s">
        <v>82</v>
      </c>
      <c r="D47">
        <v>133647.09999999998</v>
      </c>
      <c r="E47">
        <v>133647.09999999998</v>
      </c>
      <c r="F47" t="s">
        <v>464</v>
      </c>
      <c r="G47" s="285">
        <v>45589</v>
      </c>
    </row>
    <row r="48" spans="1:7" x14ac:dyDescent="0.25">
      <c r="A48" s="284">
        <v>5</v>
      </c>
      <c r="B48" t="s">
        <v>45</v>
      </c>
      <c r="E48" t="s">
        <v>457</v>
      </c>
      <c r="F48" t="s">
        <v>464</v>
      </c>
      <c r="G48" s="285">
        <v>45589</v>
      </c>
    </row>
    <row r="49" spans="1:7" x14ac:dyDescent="0.25">
      <c r="A49" s="284" t="s">
        <v>54</v>
      </c>
      <c r="B49" t="s">
        <v>17</v>
      </c>
      <c r="E49" t="s">
        <v>457</v>
      </c>
      <c r="F49" t="s">
        <v>464</v>
      </c>
      <c r="G49" s="285">
        <v>45589</v>
      </c>
    </row>
    <row r="50" spans="1:7" x14ac:dyDescent="0.25">
      <c r="A50" s="284" t="s">
        <v>170</v>
      </c>
      <c r="B50" t="s">
        <v>48</v>
      </c>
      <c r="C50" t="s">
        <v>19</v>
      </c>
      <c r="D50">
        <v>71.86</v>
      </c>
      <c r="E50">
        <v>71.86</v>
      </c>
      <c r="F50" t="s">
        <v>464</v>
      </c>
      <c r="G50" s="285">
        <v>45589</v>
      </c>
    </row>
    <row r="51" spans="1:7" x14ac:dyDescent="0.25">
      <c r="A51" s="284" t="s">
        <v>171</v>
      </c>
      <c r="B51" t="s">
        <v>153</v>
      </c>
      <c r="C51" t="s">
        <v>19</v>
      </c>
      <c r="D51">
        <v>104.02000000000001</v>
      </c>
      <c r="E51">
        <v>104.02000000000001</v>
      </c>
      <c r="F51" t="s">
        <v>464</v>
      </c>
      <c r="G51" s="285">
        <v>45589</v>
      </c>
    </row>
    <row r="52" spans="1:7" x14ac:dyDescent="0.25">
      <c r="A52" s="284" t="s">
        <v>172</v>
      </c>
      <c r="B52" t="s">
        <v>154</v>
      </c>
      <c r="C52" t="s">
        <v>26</v>
      </c>
      <c r="D52">
        <v>4163.8999999999996</v>
      </c>
      <c r="E52">
        <v>4163.8999999999996</v>
      </c>
      <c r="F52" t="s">
        <v>464</v>
      </c>
      <c r="G52" s="285">
        <v>45589</v>
      </c>
    </row>
    <row r="53" spans="1:7" x14ac:dyDescent="0.25">
      <c r="A53" s="284" t="s">
        <v>173</v>
      </c>
      <c r="B53" t="s">
        <v>155</v>
      </c>
      <c r="C53" t="s">
        <v>26</v>
      </c>
      <c r="D53">
        <v>4163.8999999999996</v>
      </c>
      <c r="E53">
        <v>4163.8999999999996</v>
      </c>
      <c r="F53" t="s">
        <v>464</v>
      </c>
      <c r="G53" s="285">
        <v>45589</v>
      </c>
    </row>
    <row r="54" spans="1:7" x14ac:dyDescent="0.25">
      <c r="A54" s="284" t="s">
        <v>174</v>
      </c>
      <c r="B54" t="s">
        <v>156</v>
      </c>
      <c r="C54" t="s">
        <v>26</v>
      </c>
      <c r="D54">
        <v>4163.8999999999996</v>
      </c>
      <c r="E54">
        <v>4163.8999999999996</v>
      </c>
      <c r="F54" t="s">
        <v>464</v>
      </c>
      <c r="G54" s="285">
        <v>45589</v>
      </c>
    </row>
    <row r="55" spans="1:7" x14ac:dyDescent="0.25">
      <c r="A55" s="284" t="s">
        <v>175</v>
      </c>
      <c r="B55" t="s">
        <v>52</v>
      </c>
      <c r="C55" t="s">
        <v>26</v>
      </c>
      <c r="D55">
        <v>349.9</v>
      </c>
      <c r="E55">
        <v>349.9</v>
      </c>
      <c r="F55" t="s">
        <v>464</v>
      </c>
      <c r="G55" s="285">
        <v>45589</v>
      </c>
    </row>
    <row r="56" spans="1:7" x14ac:dyDescent="0.25">
      <c r="A56" s="284" t="s">
        <v>176</v>
      </c>
      <c r="B56" t="s">
        <v>157</v>
      </c>
      <c r="E56" t="s">
        <v>457</v>
      </c>
      <c r="F56" t="s">
        <v>464</v>
      </c>
      <c r="G56" s="285">
        <v>45589</v>
      </c>
    </row>
    <row r="57" spans="1:7" x14ac:dyDescent="0.25">
      <c r="A57" s="284" t="s">
        <v>177</v>
      </c>
      <c r="B57" t="s">
        <v>158</v>
      </c>
      <c r="E57" t="s">
        <v>457</v>
      </c>
      <c r="F57" t="s">
        <v>464</v>
      </c>
      <c r="G57" s="285">
        <v>45589</v>
      </c>
    </row>
    <row r="58" spans="1:7" x14ac:dyDescent="0.25">
      <c r="A58" s="284">
        <v>6</v>
      </c>
      <c r="B58" t="s">
        <v>53</v>
      </c>
      <c r="E58" t="s">
        <v>457</v>
      </c>
      <c r="F58" t="s">
        <v>464</v>
      </c>
      <c r="G58" s="285">
        <v>45589</v>
      </c>
    </row>
    <row r="59" spans="1:7" x14ac:dyDescent="0.25">
      <c r="A59" s="284" t="s">
        <v>58</v>
      </c>
      <c r="B59" t="s">
        <v>55</v>
      </c>
      <c r="C59" t="s">
        <v>19</v>
      </c>
      <c r="D59">
        <v>76.39</v>
      </c>
      <c r="E59">
        <v>76.39</v>
      </c>
      <c r="F59" t="s">
        <v>464</v>
      </c>
      <c r="G59" s="285">
        <v>45589</v>
      </c>
    </row>
    <row r="60" spans="1:7" x14ac:dyDescent="0.25">
      <c r="A60" s="284">
        <v>7</v>
      </c>
      <c r="B60" t="s">
        <v>57</v>
      </c>
      <c r="E60" t="s">
        <v>457</v>
      </c>
      <c r="F60" t="s">
        <v>464</v>
      </c>
      <c r="G60" s="285">
        <v>45589</v>
      </c>
    </row>
    <row r="61" spans="1:7" x14ac:dyDescent="0.25">
      <c r="A61" s="284" t="s">
        <v>68</v>
      </c>
      <c r="B61" t="s">
        <v>87</v>
      </c>
      <c r="E61" t="s">
        <v>457</v>
      </c>
      <c r="F61" t="s">
        <v>464</v>
      </c>
      <c r="G61" s="285">
        <v>45589</v>
      </c>
    </row>
    <row r="62" spans="1:7" x14ac:dyDescent="0.25">
      <c r="A62" s="284" t="s">
        <v>59</v>
      </c>
      <c r="B62" t="s">
        <v>60</v>
      </c>
      <c r="C62" t="s">
        <v>8</v>
      </c>
      <c r="D62">
        <v>5.5</v>
      </c>
      <c r="E62">
        <v>5.5</v>
      </c>
      <c r="F62" t="s">
        <v>464</v>
      </c>
      <c r="G62" s="285">
        <v>45589</v>
      </c>
    </row>
    <row r="63" spans="1:7" x14ac:dyDescent="0.25">
      <c r="A63" s="284" t="s">
        <v>61</v>
      </c>
      <c r="B63" t="s">
        <v>83</v>
      </c>
      <c r="C63" t="s">
        <v>8</v>
      </c>
      <c r="D63">
        <v>4.53</v>
      </c>
      <c r="E63">
        <v>4.53</v>
      </c>
      <c r="F63" t="s">
        <v>464</v>
      </c>
      <c r="G63" s="285">
        <v>45589</v>
      </c>
    </row>
    <row r="64" spans="1:7" x14ac:dyDescent="0.25">
      <c r="A64" s="284" t="s">
        <v>62</v>
      </c>
      <c r="B64" t="s">
        <v>84</v>
      </c>
      <c r="C64" t="s">
        <v>8</v>
      </c>
      <c r="D64">
        <v>3.02</v>
      </c>
      <c r="E64">
        <v>3.02</v>
      </c>
      <c r="F64" t="s">
        <v>464</v>
      </c>
      <c r="G64" s="285">
        <v>45589</v>
      </c>
    </row>
    <row r="65" spans="1:7" x14ac:dyDescent="0.25">
      <c r="A65" s="284" t="s">
        <v>63</v>
      </c>
      <c r="B65" t="s">
        <v>85</v>
      </c>
      <c r="C65" t="s">
        <v>8</v>
      </c>
      <c r="D65">
        <v>22.330000000000002</v>
      </c>
      <c r="E65">
        <v>22.330000000000002</v>
      </c>
      <c r="F65" t="s">
        <v>464</v>
      </c>
      <c r="G65" s="285">
        <v>45589</v>
      </c>
    </row>
    <row r="66" spans="1:7" x14ac:dyDescent="0.25">
      <c r="A66" s="284" t="s">
        <v>64</v>
      </c>
      <c r="B66" t="s">
        <v>65</v>
      </c>
      <c r="C66" t="s">
        <v>8</v>
      </c>
      <c r="D66">
        <v>4.13</v>
      </c>
      <c r="E66">
        <v>4.13</v>
      </c>
      <c r="F66" t="s">
        <v>464</v>
      </c>
      <c r="G66" s="285">
        <v>45589</v>
      </c>
    </row>
    <row r="67" spans="1:7" x14ac:dyDescent="0.25">
      <c r="A67" s="284" t="s">
        <v>66</v>
      </c>
      <c r="B67" t="s">
        <v>86</v>
      </c>
      <c r="C67" t="s">
        <v>8</v>
      </c>
      <c r="D67">
        <v>48.2044</v>
      </c>
      <c r="E67">
        <v>48.2044</v>
      </c>
      <c r="F67" t="s">
        <v>464</v>
      </c>
      <c r="G67" s="285">
        <v>45589</v>
      </c>
    </row>
    <row r="68" spans="1:7" x14ac:dyDescent="0.25">
      <c r="A68" s="284">
        <v>8</v>
      </c>
      <c r="B68" t="s">
        <v>67</v>
      </c>
      <c r="E68" t="s">
        <v>457</v>
      </c>
      <c r="F68" t="s">
        <v>464</v>
      </c>
      <c r="G68" s="285">
        <v>45589</v>
      </c>
    </row>
    <row r="69" spans="1:7" x14ac:dyDescent="0.25">
      <c r="A69" s="284" t="s">
        <v>68</v>
      </c>
      <c r="B69" t="s">
        <v>162</v>
      </c>
      <c r="C69" t="s">
        <v>8</v>
      </c>
      <c r="D69">
        <v>73.080000000000013</v>
      </c>
      <c r="E69">
        <v>73.080000000000013</v>
      </c>
      <c r="F69" t="s">
        <v>464</v>
      </c>
      <c r="G69" s="285">
        <v>45589</v>
      </c>
    </row>
    <row r="70" spans="1:7" x14ac:dyDescent="0.25">
      <c r="A70" s="284" t="s">
        <v>90</v>
      </c>
      <c r="B70" t="s">
        <v>163</v>
      </c>
      <c r="E70" t="s">
        <v>457</v>
      </c>
      <c r="F70" t="s">
        <v>464</v>
      </c>
      <c r="G70" s="285">
        <v>45589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939FF-D9B1-4506-AC67-1901E762EEBF}">
  <sheetPr>
    <pageSetUpPr fitToPage="1"/>
  </sheetPr>
  <dimension ref="A1:Q75"/>
  <sheetViews>
    <sheetView showGridLines="0" topLeftCell="B1" zoomScale="70" zoomScaleNormal="70" workbookViewId="0">
      <pane xSplit="2" ySplit="3" topLeftCell="D4" activePane="bottomRight" state="frozen"/>
      <selection activeCell="F17" sqref="F17:H17"/>
      <selection pane="topRight" activeCell="F17" sqref="F17:H17"/>
      <selection pane="bottomLeft" activeCell="F17" sqref="F17:H17"/>
      <selection pane="bottomRight" activeCell="C1" sqref="C1:C3"/>
    </sheetView>
  </sheetViews>
  <sheetFormatPr defaultRowHeight="15" x14ac:dyDescent="0.25"/>
  <cols>
    <col min="1" max="1" width="7.85546875" customWidth="1"/>
    <col min="2" max="2" width="9" customWidth="1"/>
    <col min="3" max="3" width="93.7109375" customWidth="1"/>
    <col min="4" max="4" width="18.5703125" customWidth="1"/>
    <col min="5" max="5" width="8.85546875" customWidth="1"/>
    <col min="6" max="6" width="19.85546875" customWidth="1"/>
    <col min="7" max="7" width="23.42578125" customWidth="1"/>
    <col min="8" max="9" width="12.28515625" style="74" bestFit="1" customWidth="1"/>
    <col min="10" max="13" width="11.7109375" style="118" customWidth="1"/>
    <col min="14" max="14" width="12.28515625" style="118" bestFit="1" customWidth="1"/>
    <col min="15" max="15" width="10" style="74" bestFit="1" customWidth="1"/>
    <col min="16" max="16" width="13.7109375" style="74" bestFit="1" customWidth="1"/>
    <col min="17" max="17" width="8.85546875" style="74"/>
  </cols>
  <sheetData>
    <row r="1" spans="1:14" ht="40.15" customHeight="1" thickTop="1" x14ac:dyDescent="0.25">
      <c r="A1" s="296" t="s">
        <v>0</v>
      </c>
      <c r="B1" s="300"/>
      <c r="C1" s="298" t="s">
        <v>448</v>
      </c>
      <c r="D1" s="235"/>
      <c r="E1" s="290" t="s">
        <v>91</v>
      </c>
      <c r="F1" s="290"/>
      <c r="G1" s="291"/>
    </row>
    <row r="2" spans="1:14" ht="15.6" customHeight="1" x14ac:dyDescent="0.25">
      <c r="A2" s="297"/>
      <c r="B2" s="301"/>
      <c r="C2" s="299"/>
      <c r="D2" s="71"/>
      <c r="E2" s="286">
        <f>G6+G10+G14+G30+G52+G62+G65+G71</f>
        <v>3237265.3633233337</v>
      </c>
      <c r="F2" s="286"/>
      <c r="G2" s="287"/>
      <c r="J2" s="118">
        <v>1.4</v>
      </c>
      <c r="K2" s="121">
        <f>1-1/J2</f>
        <v>0.2857142857142857</v>
      </c>
      <c r="L2" s="121">
        <v>9.5000000000000001E-2</v>
      </c>
      <c r="M2" s="121"/>
      <c r="N2" s="121">
        <f>K2-L2-M2</f>
        <v>0.1907142857142857</v>
      </c>
    </row>
    <row r="3" spans="1:14" ht="15.6" customHeight="1" x14ac:dyDescent="0.25">
      <c r="A3" s="297"/>
      <c r="B3" s="302"/>
      <c r="C3" s="299"/>
      <c r="D3" s="72" t="s">
        <v>2</v>
      </c>
      <c r="E3" s="73" t="s">
        <v>3</v>
      </c>
      <c r="F3" s="72" t="s">
        <v>4</v>
      </c>
      <c r="G3" s="236" t="s">
        <v>5</v>
      </c>
      <c r="I3" s="74" t="s">
        <v>4</v>
      </c>
    </row>
    <row r="4" spans="1:14" ht="22.15" hidden="1" customHeight="1" x14ac:dyDescent="0.25">
      <c r="A4" s="237"/>
      <c r="B4" s="229"/>
      <c r="C4" s="230"/>
      <c r="D4" s="231"/>
      <c r="E4" s="232"/>
      <c r="F4" s="233"/>
      <c r="G4" s="238"/>
    </row>
    <row r="5" spans="1:14" ht="30" customHeight="1" x14ac:dyDescent="0.25">
      <c r="A5" s="294" t="s">
        <v>169</v>
      </c>
      <c r="B5" s="295"/>
      <c r="C5" s="295"/>
      <c r="D5" s="234"/>
      <c r="E5" s="234"/>
      <c r="F5" s="234"/>
      <c r="G5" s="239"/>
      <c r="I5" s="228">
        <v>0.9</v>
      </c>
    </row>
    <row r="6" spans="1:14" ht="22.9" hidden="1" customHeight="1" x14ac:dyDescent="0.25">
      <c r="A6" s="240">
        <v>1</v>
      </c>
      <c r="B6" s="75">
        <v>1</v>
      </c>
      <c r="C6" s="76" t="s">
        <v>88</v>
      </c>
      <c r="D6" s="77"/>
      <c r="E6" s="77"/>
      <c r="F6" s="77"/>
      <c r="G6" s="241">
        <f>SUBTOTAL(9,G7:G9)</f>
        <v>0</v>
      </c>
      <c r="I6" s="228">
        <v>1.01</v>
      </c>
    </row>
    <row r="7" spans="1:14" ht="15.75" hidden="1" x14ac:dyDescent="0.25">
      <c r="A7" s="242" t="s">
        <v>7</v>
      </c>
      <c r="B7" s="61" t="s">
        <v>7</v>
      </c>
      <c r="C7" s="70" t="s">
        <v>103</v>
      </c>
      <c r="D7" s="62"/>
      <c r="E7" s="63" t="s">
        <v>168</v>
      </c>
      <c r="F7" s="64">
        <f>I7</f>
        <v>12000</v>
      </c>
      <c r="G7" s="243">
        <f>(F7*D7)</f>
        <v>0</v>
      </c>
      <c r="I7" s="228">
        <v>12000</v>
      </c>
      <c r="J7" s="119"/>
      <c r="K7" s="119"/>
      <c r="L7" s="119">
        <f>F7/$J$2</f>
        <v>8571.4285714285725</v>
      </c>
      <c r="M7" s="118">
        <f t="shared" ref="M7:M56" si="0">SUM(J7:L7)</f>
        <v>8571.4285714285725</v>
      </c>
      <c r="N7" s="118">
        <f t="shared" ref="N7:N56" si="1">M7*$J$2</f>
        <v>12000</v>
      </c>
    </row>
    <row r="8" spans="1:14" ht="15.75" hidden="1" x14ac:dyDescent="0.25">
      <c r="A8" s="242" t="s">
        <v>9</v>
      </c>
      <c r="B8" s="61" t="s">
        <v>9</v>
      </c>
      <c r="C8" s="70" t="s">
        <v>104</v>
      </c>
      <c r="D8" s="62"/>
      <c r="E8" s="63" t="s">
        <v>11</v>
      </c>
      <c r="F8" s="64">
        <f>I8</f>
        <v>460</v>
      </c>
      <c r="G8" s="243">
        <f>(F8*D8)</f>
        <v>0</v>
      </c>
      <c r="I8" s="228">
        <v>460</v>
      </c>
      <c r="J8" s="119"/>
      <c r="K8" s="119"/>
      <c r="L8" s="119">
        <f>F8/$J$2</f>
        <v>328.57142857142861</v>
      </c>
      <c r="M8" s="118">
        <f t="shared" si="0"/>
        <v>328.57142857142861</v>
      </c>
      <c r="N8" s="118">
        <f t="shared" si="1"/>
        <v>460</v>
      </c>
    </row>
    <row r="9" spans="1:14" ht="15.75" hidden="1" x14ac:dyDescent="0.25">
      <c r="A9" s="242" t="s">
        <v>12</v>
      </c>
      <c r="B9" s="61" t="s">
        <v>12</v>
      </c>
      <c r="C9" s="70" t="s">
        <v>105</v>
      </c>
      <c r="D9" s="62"/>
      <c r="E9" s="63"/>
      <c r="F9" s="64"/>
      <c r="G9" s="243">
        <f>(F9*D9)</f>
        <v>0</v>
      </c>
      <c r="I9" s="228"/>
      <c r="J9" s="119"/>
      <c r="K9" s="119"/>
      <c r="L9" s="119">
        <f>F9/$J$2</f>
        <v>0</v>
      </c>
      <c r="M9" s="118">
        <f t="shared" si="0"/>
        <v>0</v>
      </c>
      <c r="N9" s="118">
        <f t="shared" si="1"/>
        <v>0</v>
      </c>
    </row>
    <row r="10" spans="1:14" ht="22.9" hidden="1" customHeight="1" x14ac:dyDescent="0.25">
      <c r="A10" s="240">
        <v>1</v>
      </c>
      <c r="B10" s="75">
        <v>2</v>
      </c>
      <c r="C10" s="76" t="s">
        <v>6</v>
      </c>
      <c r="D10" s="77"/>
      <c r="E10" s="77"/>
      <c r="F10" s="77"/>
      <c r="G10" s="241">
        <f>SUBTOTAL(9,G11:G13)</f>
        <v>0</v>
      </c>
      <c r="I10" s="228">
        <v>0.98399999999999999</v>
      </c>
      <c r="J10" s="119"/>
      <c r="K10" s="119"/>
      <c r="L10" s="119"/>
      <c r="M10" s="118">
        <f t="shared" si="0"/>
        <v>0</v>
      </c>
      <c r="N10" s="118">
        <f t="shared" si="1"/>
        <v>0</v>
      </c>
    </row>
    <row r="11" spans="1:14" ht="19.899999999999999" hidden="1" customHeight="1" x14ac:dyDescent="0.25">
      <c r="A11" s="242" t="s">
        <v>7</v>
      </c>
      <c r="B11" s="61" t="s">
        <v>16</v>
      </c>
      <c r="C11" s="70" t="s">
        <v>10</v>
      </c>
      <c r="D11" s="62">
        <v>39676.239999999998</v>
      </c>
      <c r="E11" s="63" t="s">
        <v>11</v>
      </c>
      <c r="F11" s="64">
        <v>0</v>
      </c>
      <c r="G11" s="243">
        <f>(F11*D11)</f>
        <v>0</v>
      </c>
      <c r="I11" s="74">
        <v>7.92</v>
      </c>
      <c r="J11" s="119">
        <v>0</v>
      </c>
      <c r="K11" s="119">
        <v>0</v>
      </c>
      <c r="L11" s="119">
        <f>F11/$J$2</f>
        <v>0</v>
      </c>
      <c r="M11" s="118">
        <f t="shared" si="0"/>
        <v>0</v>
      </c>
      <c r="N11" s="118">
        <f t="shared" si="1"/>
        <v>0</v>
      </c>
    </row>
    <row r="12" spans="1:14" ht="19.899999999999999" hidden="1" customHeight="1" x14ac:dyDescent="0.25">
      <c r="A12" s="242" t="s">
        <v>9</v>
      </c>
      <c r="B12" s="61" t="s">
        <v>106</v>
      </c>
      <c r="C12" s="70" t="s">
        <v>13</v>
      </c>
      <c r="D12" s="62">
        <v>51579.112000000001</v>
      </c>
      <c r="E12" s="63" t="s">
        <v>11</v>
      </c>
      <c r="F12" s="64">
        <v>0</v>
      </c>
      <c r="G12" s="243">
        <f>(F12*D12)</f>
        <v>0</v>
      </c>
      <c r="I12" s="74">
        <v>5.46</v>
      </c>
      <c r="J12" s="119">
        <v>0</v>
      </c>
      <c r="K12" s="119">
        <v>0</v>
      </c>
      <c r="L12" s="119">
        <f>F12/$J$2</f>
        <v>0</v>
      </c>
      <c r="M12" s="118">
        <f t="shared" si="0"/>
        <v>0</v>
      </c>
      <c r="N12" s="118">
        <f t="shared" si="1"/>
        <v>0</v>
      </c>
    </row>
    <row r="13" spans="1:14" ht="19.899999999999999" hidden="1" customHeight="1" x14ac:dyDescent="0.25">
      <c r="A13" s="242" t="s">
        <v>12</v>
      </c>
      <c r="B13" s="61" t="s">
        <v>107</v>
      </c>
      <c r="C13" s="70" t="s">
        <v>14</v>
      </c>
      <c r="D13" s="62">
        <v>13592.94</v>
      </c>
      <c r="E13" s="63" t="s">
        <v>11</v>
      </c>
      <c r="F13" s="64">
        <v>0</v>
      </c>
      <c r="G13" s="243">
        <f>(F13*D13)</f>
        <v>0</v>
      </c>
      <c r="I13" s="74">
        <v>13.67</v>
      </c>
      <c r="J13" s="119">
        <v>0</v>
      </c>
      <c r="K13" s="119">
        <v>0</v>
      </c>
      <c r="L13" s="119">
        <f>F13/$J$2</f>
        <v>0</v>
      </c>
      <c r="M13" s="118">
        <f t="shared" si="0"/>
        <v>0</v>
      </c>
      <c r="N13" s="118">
        <f t="shared" si="1"/>
        <v>0</v>
      </c>
    </row>
    <row r="14" spans="1:14" ht="22.9" customHeight="1" x14ac:dyDescent="0.25">
      <c r="A14" s="240">
        <v>2</v>
      </c>
      <c r="B14" s="75">
        <v>3</v>
      </c>
      <c r="C14" s="76" t="s">
        <v>15</v>
      </c>
      <c r="D14" s="77"/>
      <c r="E14" s="77"/>
      <c r="F14" s="259"/>
      <c r="G14" s="262">
        <f>G15</f>
        <v>464624.15500000003</v>
      </c>
      <c r="J14" s="119"/>
      <c r="K14" s="119"/>
      <c r="L14" s="119"/>
      <c r="M14" s="118">
        <f t="shared" si="0"/>
        <v>0</v>
      </c>
      <c r="N14" s="118">
        <f t="shared" si="1"/>
        <v>0</v>
      </c>
    </row>
    <row r="15" spans="1:14" ht="21" customHeight="1" x14ac:dyDescent="0.25">
      <c r="A15" s="244" t="s">
        <v>16</v>
      </c>
      <c r="B15" s="65" t="s">
        <v>34</v>
      </c>
      <c r="C15" s="66" t="s">
        <v>17</v>
      </c>
      <c r="D15" s="67"/>
      <c r="E15" s="68"/>
      <c r="F15" s="260"/>
      <c r="G15" s="263">
        <f>SUM(G16:G29)</f>
        <v>464624.15500000003</v>
      </c>
      <c r="J15" s="119"/>
      <c r="K15" s="119"/>
      <c r="L15" s="119"/>
      <c r="M15" s="118">
        <f t="shared" si="0"/>
        <v>0</v>
      </c>
      <c r="N15" s="118">
        <f t="shared" si="1"/>
        <v>0</v>
      </c>
    </row>
    <row r="16" spans="1:14" s="74" customFormat="1" ht="31.9" customHeight="1" x14ac:dyDescent="0.25">
      <c r="A16" s="242" t="s">
        <v>18</v>
      </c>
      <c r="B16" s="61" t="s">
        <v>35</v>
      </c>
      <c r="C16" s="70" t="s">
        <v>108</v>
      </c>
      <c r="D16" s="62">
        <v>347.5</v>
      </c>
      <c r="E16" s="63" t="s">
        <v>19</v>
      </c>
      <c r="F16" s="261">
        <f t="shared" ref="F16:F21" si="2">J16*1.1</f>
        <v>99.000000000000014</v>
      </c>
      <c r="G16" s="264">
        <f>(F16*D16)</f>
        <v>34402.500000000007</v>
      </c>
      <c r="I16" s="74">
        <v>215.35</v>
      </c>
      <c r="J16" s="119">
        <f>Sheet1!I37</f>
        <v>90</v>
      </c>
      <c r="K16" s="119">
        <f>Sheet1!J37</f>
        <v>29.889393939393937</v>
      </c>
      <c r="L16" s="119">
        <f>Sheet1!K37</f>
        <v>33.92878787878788</v>
      </c>
      <c r="M16" s="118">
        <f t="shared" si="0"/>
        <v>153.81818181818181</v>
      </c>
      <c r="N16" s="118">
        <f t="shared" si="1"/>
        <v>215.34545454545452</v>
      </c>
    </row>
    <row r="17" spans="1:15" s="74" customFormat="1" ht="31.9" customHeight="1" x14ac:dyDescent="0.25">
      <c r="A17" s="242" t="s">
        <v>20</v>
      </c>
      <c r="B17" s="61" t="s">
        <v>36</v>
      </c>
      <c r="C17" s="70" t="s">
        <v>109</v>
      </c>
      <c r="D17" s="62">
        <v>1370.34</v>
      </c>
      <c r="E17" s="63" t="s">
        <v>19</v>
      </c>
      <c r="F17" s="261">
        <f t="shared" si="2"/>
        <v>158.4</v>
      </c>
      <c r="G17" s="264">
        <f>(F17*D17)</f>
        <v>217061.856</v>
      </c>
      <c r="I17" s="74">
        <v>308.81</v>
      </c>
      <c r="J17" s="119">
        <f>Sheet1!I38</f>
        <v>144</v>
      </c>
      <c r="K17" s="119">
        <f>Sheet1!J38</f>
        <v>35.867272727272727</v>
      </c>
      <c r="L17" s="119">
        <f>Sheet1!K38</f>
        <v>40.714545454545458</v>
      </c>
      <c r="M17" s="118">
        <f t="shared" si="0"/>
        <v>220.58181818181819</v>
      </c>
      <c r="N17" s="118">
        <f t="shared" si="1"/>
        <v>308.81454545454545</v>
      </c>
    </row>
    <row r="18" spans="1:15" s="74" customFormat="1" ht="31.9" customHeight="1" x14ac:dyDescent="0.25">
      <c r="A18" s="242" t="s">
        <v>21</v>
      </c>
      <c r="B18" s="61" t="s">
        <v>37</v>
      </c>
      <c r="C18" s="70" t="s">
        <v>110</v>
      </c>
      <c r="D18" s="62">
        <v>182.83</v>
      </c>
      <c r="E18" s="63" t="s">
        <v>19</v>
      </c>
      <c r="F18" s="261">
        <f t="shared" si="2"/>
        <v>327.8</v>
      </c>
      <c r="G18" s="264">
        <f t="shared" ref="G18:G29" si="3">(F18*D18)</f>
        <v>59931.674000000006</v>
      </c>
      <c r="I18" s="74">
        <v>849.22</v>
      </c>
      <c r="J18" s="119">
        <f>Sheet1!I39</f>
        <v>298</v>
      </c>
      <c r="K18" s="119">
        <f>Sheet1!J39</f>
        <v>44.834090909090904</v>
      </c>
      <c r="L18" s="119">
        <f>Sheet1!K39</f>
        <v>50.893181818181816</v>
      </c>
      <c r="M18" s="118">
        <f t="shared" si="0"/>
        <v>393.72727272727269</v>
      </c>
      <c r="N18" s="118">
        <f t="shared" si="1"/>
        <v>551.21818181818173</v>
      </c>
    </row>
    <row r="19" spans="1:15" s="74" customFormat="1" ht="31.9" customHeight="1" x14ac:dyDescent="0.25">
      <c r="A19" s="242" t="s">
        <v>22</v>
      </c>
      <c r="B19" s="61" t="s">
        <v>38</v>
      </c>
      <c r="C19" s="70" t="s">
        <v>111</v>
      </c>
      <c r="D19" s="62">
        <v>183.25</v>
      </c>
      <c r="E19" s="63" t="s">
        <v>19</v>
      </c>
      <c r="F19" s="261">
        <f t="shared" si="2"/>
        <v>522.5</v>
      </c>
      <c r="G19" s="264">
        <f t="shared" si="3"/>
        <v>95748.125</v>
      </c>
      <c r="I19" s="74">
        <v>1318.69</v>
      </c>
      <c r="J19" s="119">
        <f>Sheet1!I40</f>
        <v>475</v>
      </c>
      <c r="K19" s="119">
        <f>Sheet1!J40</f>
        <v>59.778787878787874</v>
      </c>
      <c r="L19" s="119">
        <f>Sheet1!K40</f>
        <v>67.857575757575759</v>
      </c>
      <c r="M19" s="118">
        <f t="shared" si="0"/>
        <v>602.63636363636363</v>
      </c>
      <c r="N19" s="118">
        <f t="shared" si="1"/>
        <v>843.69090909090903</v>
      </c>
    </row>
    <row r="20" spans="1:15" s="74" customFormat="1" ht="31.9" customHeight="1" x14ac:dyDescent="0.25">
      <c r="A20" s="242" t="s">
        <v>23</v>
      </c>
      <c r="B20" s="61" t="s">
        <v>39</v>
      </c>
      <c r="C20" s="70" t="s">
        <v>25</v>
      </c>
      <c r="D20" s="62">
        <v>10</v>
      </c>
      <c r="E20" s="63" t="s">
        <v>26</v>
      </c>
      <c r="F20" s="261">
        <f t="shared" si="2"/>
        <v>550</v>
      </c>
      <c r="G20" s="264">
        <f t="shared" si="3"/>
        <v>5500</v>
      </c>
      <c r="I20" s="74">
        <v>2417.33</v>
      </c>
      <c r="J20" s="119">
        <v>500</v>
      </c>
      <c r="K20" s="119">
        <f>Sheet1!J42</f>
        <v>500</v>
      </c>
      <c r="L20" s="119">
        <f>Sheet1!K42</f>
        <v>14.250090909090908</v>
      </c>
      <c r="M20" s="118">
        <f t="shared" si="0"/>
        <v>1014.2500909090909</v>
      </c>
      <c r="N20" s="118">
        <f t="shared" si="1"/>
        <v>1419.9501272727271</v>
      </c>
    </row>
    <row r="21" spans="1:15" s="74" customFormat="1" ht="31.9" customHeight="1" x14ac:dyDescent="0.25">
      <c r="A21" s="242" t="s">
        <v>24</v>
      </c>
      <c r="B21" s="61" t="s">
        <v>40</v>
      </c>
      <c r="C21" s="70" t="s">
        <v>76</v>
      </c>
      <c r="D21" s="62">
        <v>50</v>
      </c>
      <c r="E21" s="63" t="s">
        <v>26</v>
      </c>
      <c r="F21" s="261">
        <f t="shared" si="2"/>
        <v>550</v>
      </c>
      <c r="G21" s="264">
        <f t="shared" si="3"/>
        <v>27500</v>
      </c>
      <c r="I21" s="74">
        <v>4422.42</v>
      </c>
      <c r="J21" s="119">
        <v>500</v>
      </c>
      <c r="K21" s="119">
        <f>Sheet1!J43</f>
        <v>800</v>
      </c>
      <c r="L21" s="119">
        <f>Sheet1!K43</f>
        <v>28.500181818181815</v>
      </c>
      <c r="M21" s="118">
        <f t="shared" si="0"/>
        <v>1328.5001818181818</v>
      </c>
      <c r="N21" s="118">
        <f t="shared" si="1"/>
        <v>1859.9002545454543</v>
      </c>
    </row>
    <row r="22" spans="1:15" s="74" customFormat="1" ht="31.9" customHeight="1" x14ac:dyDescent="0.25">
      <c r="A22" s="242" t="s">
        <v>27</v>
      </c>
      <c r="B22" s="61" t="s">
        <v>41</v>
      </c>
      <c r="C22" s="70" t="s">
        <v>449</v>
      </c>
      <c r="D22" s="62">
        <v>31</v>
      </c>
      <c r="E22" s="63" t="s">
        <v>26</v>
      </c>
      <c r="F22" s="261">
        <f t="shared" ref="F22:F25" si="4">J22</f>
        <v>480</v>
      </c>
      <c r="G22" s="264">
        <f t="shared" si="3"/>
        <v>14880</v>
      </c>
      <c r="I22" s="74">
        <v>4163.8999999999996</v>
      </c>
      <c r="J22" s="119">
        <v>480</v>
      </c>
      <c r="K22" s="119">
        <f>Sheet1!J41</f>
        <v>700</v>
      </c>
      <c r="L22" s="119">
        <f>Sheet1!K41</f>
        <v>32.062704545454544</v>
      </c>
      <c r="M22" s="118">
        <f t="shared" si="0"/>
        <v>1212.0627045454546</v>
      </c>
      <c r="N22" s="118">
        <f t="shared" si="1"/>
        <v>1696.8877863636365</v>
      </c>
    </row>
    <row r="23" spans="1:15" s="74" customFormat="1" ht="31.9" customHeight="1" x14ac:dyDescent="0.25">
      <c r="A23" s="242" t="s">
        <v>28</v>
      </c>
      <c r="B23" s="61" t="s">
        <v>42</v>
      </c>
      <c r="C23" s="70" t="s">
        <v>450</v>
      </c>
      <c r="D23" s="62">
        <v>13</v>
      </c>
      <c r="E23" s="63" t="s">
        <v>26</v>
      </c>
      <c r="F23" s="261">
        <f t="shared" si="4"/>
        <v>480</v>
      </c>
      <c r="G23" s="264">
        <f t="shared" si="3"/>
        <v>6240</v>
      </c>
      <c r="I23" s="74">
        <v>5042.8992899999994</v>
      </c>
      <c r="J23" s="119">
        <v>480</v>
      </c>
      <c r="K23" s="119">
        <f>K22*1.224</f>
        <v>856.8</v>
      </c>
      <c r="L23" s="119">
        <f>L22*1.224-2.34</f>
        <v>36.904750363636367</v>
      </c>
      <c r="M23" s="118">
        <f t="shared" si="0"/>
        <v>1373.7047503636363</v>
      </c>
      <c r="N23" s="118">
        <f>TRUNC(M23*$J$2,2)</f>
        <v>1923.18</v>
      </c>
      <c r="O23" s="74">
        <f>F23/1.4</f>
        <v>342.85714285714289</v>
      </c>
    </row>
    <row r="24" spans="1:15" s="74" customFormat="1" ht="31.9" customHeight="1" x14ac:dyDescent="0.25">
      <c r="A24" s="242" t="s">
        <v>29</v>
      </c>
      <c r="B24" s="61" t="s">
        <v>43</v>
      </c>
      <c r="C24" s="70" t="s">
        <v>451</v>
      </c>
      <c r="D24" s="62">
        <v>3</v>
      </c>
      <c r="E24" s="63" t="s">
        <v>26</v>
      </c>
      <c r="F24" s="261">
        <f t="shared" si="4"/>
        <v>480</v>
      </c>
      <c r="G24" s="264">
        <f t="shared" si="3"/>
        <v>1440</v>
      </c>
      <c r="I24" s="74">
        <v>5475.5284999999994</v>
      </c>
      <c r="J24" s="119">
        <v>480</v>
      </c>
      <c r="K24" s="119">
        <f>K23*1.085</f>
        <v>929.62799999999993</v>
      </c>
      <c r="L24" s="119">
        <f>L23*1.085</f>
        <v>40.041654144545454</v>
      </c>
      <c r="M24" s="118">
        <f t="shared" si="0"/>
        <v>1449.6696541445453</v>
      </c>
      <c r="N24" s="118">
        <f>TRUNC(M24*$J$2,2)</f>
        <v>2029.53</v>
      </c>
      <c r="O24" s="74">
        <f>F24/1.4</f>
        <v>342.85714285714289</v>
      </c>
    </row>
    <row r="25" spans="1:15" s="74" customFormat="1" ht="31.9" customHeight="1" x14ac:dyDescent="0.25">
      <c r="A25" s="242" t="s">
        <v>27</v>
      </c>
      <c r="B25" s="61" t="s">
        <v>117</v>
      </c>
      <c r="C25" s="70" t="s">
        <v>452</v>
      </c>
      <c r="D25" s="62">
        <v>4</v>
      </c>
      <c r="E25" s="63" t="s">
        <v>26</v>
      </c>
      <c r="F25" s="261">
        <f t="shared" si="4"/>
        <v>480</v>
      </c>
      <c r="G25" s="264">
        <f t="shared" si="3"/>
        <v>1920</v>
      </c>
      <c r="I25" s="74">
        <f>I24*1.09</f>
        <v>5968.3260650000002</v>
      </c>
      <c r="J25" s="119">
        <v>480</v>
      </c>
      <c r="K25" s="119">
        <f>K24*1.09</f>
        <v>1013.29452</v>
      </c>
      <c r="L25" s="119">
        <f>L24*1.09</f>
        <v>43.64540301755455</v>
      </c>
      <c r="M25" s="118">
        <f t="shared" si="0"/>
        <v>1536.9399230175545</v>
      </c>
      <c r="N25" s="118">
        <f t="shared" si="1"/>
        <v>2151.7158922245762</v>
      </c>
      <c r="O25" s="74">
        <f>F25/1.4</f>
        <v>342.85714285714289</v>
      </c>
    </row>
    <row r="26" spans="1:15" ht="19.899999999999999" hidden="1" customHeight="1" x14ac:dyDescent="0.25">
      <c r="A26" s="242" t="s">
        <v>28</v>
      </c>
      <c r="B26" s="61" t="s">
        <v>118</v>
      </c>
      <c r="C26" s="70" t="s">
        <v>113</v>
      </c>
      <c r="D26" s="62">
        <v>1</v>
      </c>
      <c r="E26" s="63" t="s">
        <v>26</v>
      </c>
      <c r="F26" s="261"/>
      <c r="G26" s="264">
        <f t="shared" si="3"/>
        <v>0</v>
      </c>
      <c r="I26" s="74">
        <v>8844.43</v>
      </c>
      <c r="J26" s="119">
        <f>TRUNC(Sheet1!I44+62.89,2)</f>
        <v>4723.62</v>
      </c>
      <c r="K26" s="119">
        <f>Sheet1!J44</f>
        <v>1600</v>
      </c>
      <c r="L26" s="119">
        <f>Sheet1!K44</f>
        <v>57.00036363636363</v>
      </c>
      <c r="M26" s="118">
        <f t="shared" si="0"/>
        <v>6380.6203636363634</v>
      </c>
      <c r="N26" s="118">
        <f t="shared" si="1"/>
        <v>8932.8685090909075</v>
      </c>
      <c r="O26" s="74">
        <f>F26/1.4</f>
        <v>0</v>
      </c>
    </row>
    <row r="27" spans="1:15" ht="19.899999999999999" hidden="1" customHeight="1" x14ac:dyDescent="0.25">
      <c r="A27" s="242" t="s">
        <v>29</v>
      </c>
      <c r="B27" s="61" t="s">
        <v>119</v>
      </c>
      <c r="C27" s="70" t="s">
        <v>114</v>
      </c>
      <c r="D27" s="62">
        <v>1</v>
      </c>
      <c r="E27" s="63" t="s">
        <v>26</v>
      </c>
      <c r="F27" s="261"/>
      <c r="G27" s="264">
        <f t="shared" si="3"/>
        <v>0</v>
      </c>
      <c r="I27" s="74">
        <v>8844.43</v>
      </c>
      <c r="J27" s="119">
        <f>J26</f>
        <v>4723.62</v>
      </c>
      <c r="K27" s="119">
        <f>K26</f>
        <v>1600</v>
      </c>
      <c r="L27" s="119">
        <f>L26</f>
        <v>57.00036363636363</v>
      </c>
      <c r="M27" s="118">
        <f t="shared" si="0"/>
        <v>6380.6203636363634</v>
      </c>
      <c r="N27" s="118">
        <f t="shared" si="1"/>
        <v>8932.8685090909075</v>
      </c>
    </row>
    <row r="28" spans="1:15" ht="19.899999999999999" hidden="1" customHeight="1" x14ac:dyDescent="0.25">
      <c r="A28" s="242" t="s">
        <v>30</v>
      </c>
      <c r="B28" s="61" t="s">
        <v>120</v>
      </c>
      <c r="C28" s="70" t="s">
        <v>115</v>
      </c>
      <c r="D28" s="62"/>
      <c r="E28" s="63"/>
      <c r="F28" s="261">
        <f t="shared" ref="F28" si="5">I28*$I$6</f>
        <v>0</v>
      </c>
      <c r="G28" s="264">
        <f t="shared" si="3"/>
        <v>0</v>
      </c>
      <c r="J28" s="119"/>
      <c r="K28" s="119"/>
      <c r="L28" s="119"/>
      <c r="M28" s="118">
        <f t="shared" si="0"/>
        <v>0</v>
      </c>
      <c r="N28" s="118">
        <f t="shared" si="1"/>
        <v>0</v>
      </c>
    </row>
    <row r="29" spans="1:15" ht="19.899999999999999" hidden="1" customHeight="1" x14ac:dyDescent="0.25">
      <c r="A29" s="242" t="s">
        <v>31</v>
      </c>
      <c r="B29" s="61" t="s">
        <v>121</v>
      </c>
      <c r="C29" s="70" t="s">
        <v>116</v>
      </c>
      <c r="D29" s="62"/>
      <c r="E29" s="63"/>
      <c r="F29" s="261"/>
      <c r="G29" s="264">
        <f t="shared" si="3"/>
        <v>0</v>
      </c>
      <c r="J29" s="119"/>
      <c r="K29" s="119"/>
      <c r="L29" s="119"/>
      <c r="M29" s="118">
        <f t="shared" si="0"/>
        <v>0</v>
      </c>
      <c r="N29" s="118">
        <f t="shared" si="1"/>
        <v>0</v>
      </c>
    </row>
    <row r="30" spans="1:15" ht="22.9" customHeight="1" x14ac:dyDescent="0.25">
      <c r="A30" s="240">
        <v>3</v>
      </c>
      <c r="B30" s="75">
        <v>4</v>
      </c>
      <c r="C30" s="76" t="s">
        <v>33</v>
      </c>
      <c r="D30" s="77"/>
      <c r="E30" s="77"/>
      <c r="F30" s="259"/>
      <c r="G30" s="262">
        <f>G31+G49</f>
        <v>269661.49248333334</v>
      </c>
      <c r="J30" s="119"/>
      <c r="K30" s="119"/>
      <c r="L30" s="119"/>
      <c r="M30" s="118">
        <f t="shared" si="0"/>
        <v>0</v>
      </c>
      <c r="N30" s="118">
        <f t="shared" si="1"/>
        <v>0</v>
      </c>
    </row>
    <row r="31" spans="1:15" ht="21" customHeight="1" x14ac:dyDescent="0.25">
      <c r="A31" s="244" t="s">
        <v>34</v>
      </c>
      <c r="B31" s="65" t="s">
        <v>46</v>
      </c>
      <c r="C31" s="66" t="s">
        <v>17</v>
      </c>
      <c r="D31" s="67"/>
      <c r="E31" s="68"/>
      <c r="F31" s="260"/>
      <c r="G31" s="263">
        <f>SUM(G32:G48)</f>
        <v>166463.49248333334</v>
      </c>
      <c r="J31" s="119"/>
      <c r="K31" s="119"/>
      <c r="L31" s="119"/>
      <c r="M31" s="118">
        <f t="shared" si="0"/>
        <v>0</v>
      </c>
      <c r="N31" s="118">
        <f t="shared" si="1"/>
        <v>0</v>
      </c>
    </row>
    <row r="32" spans="1:15" s="74" customFormat="1" ht="31.9" customHeight="1" x14ac:dyDescent="0.25">
      <c r="A32" s="242" t="s">
        <v>35</v>
      </c>
      <c r="B32" s="61" t="s">
        <v>47</v>
      </c>
      <c r="C32" s="70" t="s">
        <v>122</v>
      </c>
      <c r="D32" s="62">
        <v>7327.33</v>
      </c>
      <c r="E32" s="63" t="s">
        <v>19</v>
      </c>
      <c r="F32" s="261">
        <f t="shared" ref="F32:F39" si="6">J32</f>
        <v>10.413333333333332</v>
      </c>
      <c r="G32" s="264">
        <f t="shared" ref="G32:G43" si="7">(F32*D32)</f>
        <v>76301.929733333323</v>
      </c>
      <c r="I32" s="74">
        <v>35.65</v>
      </c>
      <c r="J32" s="119">
        <f>Sheet1!I91</f>
        <v>10.413333333333332</v>
      </c>
      <c r="K32" s="119">
        <f>Sheet1!J91</f>
        <v>9.9631313131313117</v>
      </c>
      <c r="L32" s="119">
        <f>Sheet1!K91</f>
        <v>5.0893181818181823</v>
      </c>
      <c r="M32" s="118">
        <f t="shared" si="0"/>
        <v>25.465782828282826</v>
      </c>
      <c r="N32" s="118">
        <f t="shared" si="1"/>
        <v>35.652095959595954</v>
      </c>
    </row>
    <row r="33" spans="1:14" s="74" customFormat="1" ht="31.9" customHeight="1" x14ac:dyDescent="0.25">
      <c r="A33" s="242" t="s">
        <v>36</v>
      </c>
      <c r="B33" s="61" t="s">
        <v>49</v>
      </c>
      <c r="C33" s="70" t="s">
        <v>123</v>
      </c>
      <c r="D33" s="62">
        <v>409.85</v>
      </c>
      <c r="E33" s="63" t="s">
        <v>19</v>
      </c>
      <c r="F33" s="261">
        <f t="shared" si="6"/>
        <v>20.900000000000002</v>
      </c>
      <c r="G33" s="264">
        <f t="shared" si="7"/>
        <v>8565.8650000000016</v>
      </c>
      <c r="I33" s="74">
        <v>50.33</v>
      </c>
      <c r="J33" s="119">
        <f>Sheet1!I90</f>
        <v>20.900000000000002</v>
      </c>
      <c r="K33" s="119">
        <f>Sheet1!J90</f>
        <v>9.9631313131313117</v>
      </c>
      <c r="L33" s="119">
        <f>Sheet1!K90</f>
        <v>5.0893181818181823</v>
      </c>
      <c r="M33" s="118">
        <f t="shared" si="0"/>
        <v>35.952449494949491</v>
      </c>
      <c r="N33" s="118">
        <f t="shared" si="1"/>
        <v>50.333429292929281</v>
      </c>
    </row>
    <row r="34" spans="1:14" s="74" customFormat="1" ht="31.9" customHeight="1" x14ac:dyDescent="0.25">
      <c r="A34" s="242" t="s">
        <v>37</v>
      </c>
      <c r="B34" s="61" t="s">
        <v>50</v>
      </c>
      <c r="C34" s="70" t="s">
        <v>80</v>
      </c>
      <c r="D34" s="62">
        <v>330.87</v>
      </c>
      <c r="E34" s="63" t="s">
        <v>19</v>
      </c>
      <c r="F34" s="261">
        <f t="shared" si="6"/>
        <v>35.199999999999996</v>
      </c>
      <c r="G34" s="264">
        <f t="shared" si="7"/>
        <v>11646.623999999998</v>
      </c>
      <c r="I34" s="74">
        <v>70.349999999999994</v>
      </c>
      <c r="J34" s="119">
        <f>Sheet1!I89</f>
        <v>35.199999999999996</v>
      </c>
      <c r="K34" s="119">
        <f>Sheet1!J89</f>
        <v>9.9631313131313117</v>
      </c>
      <c r="L34" s="119">
        <f>Sheet1!K89</f>
        <v>5.0893181818181823</v>
      </c>
      <c r="M34" s="118">
        <f t="shared" si="0"/>
        <v>50.252449494949488</v>
      </c>
      <c r="N34" s="118">
        <f t="shared" si="1"/>
        <v>70.353429292929277</v>
      </c>
    </row>
    <row r="35" spans="1:14" s="74" customFormat="1" ht="31.9" customHeight="1" x14ac:dyDescent="0.25">
      <c r="A35" s="242" t="s">
        <v>38</v>
      </c>
      <c r="B35" s="61" t="s">
        <v>51</v>
      </c>
      <c r="C35" s="70" t="s">
        <v>124</v>
      </c>
      <c r="D35" s="62">
        <v>363.81</v>
      </c>
      <c r="E35" s="63" t="s">
        <v>19</v>
      </c>
      <c r="F35" s="261">
        <f t="shared" si="6"/>
        <v>65.875</v>
      </c>
      <c r="G35" s="264">
        <f t="shared" si="7"/>
        <v>23965.983749999999</v>
      </c>
      <c r="I35" s="74">
        <v>117.28</v>
      </c>
      <c r="J35" s="119">
        <f>Sheet1!I88</f>
        <v>65.875</v>
      </c>
      <c r="K35" s="119">
        <f>Sheet1!J88</f>
        <v>12.809740259740259</v>
      </c>
      <c r="L35" s="119">
        <f>Sheet1!K88</f>
        <v>5.0893181818181823</v>
      </c>
      <c r="M35" s="118">
        <f t="shared" si="0"/>
        <v>83.774058441558452</v>
      </c>
      <c r="N35" s="118">
        <f t="shared" si="1"/>
        <v>117.28368181818182</v>
      </c>
    </row>
    <row r="36" spans="1:14" s="74" customFormat="1" ht="31.9" customHeight="1" x14ac:dyDescent="0.25">
      <c r="A36" s="242" t="s">
        <v>39</v>
      </c>
      <c r="B36" s="61" t="s">
        <v>134</v>
      </c>
      <c r="C36" s="70" t="s">
        <v>125</v>
      </c>
      <c r="D36" s="62">
        <v>64</v>
      </c>
      <c r="E36" s="63" t="s">
        <v>26</v>
      </c>
      <c r="F36" s="261">
        <f t="shared" si="6"/>
        <v>590.55999999999995</v>
      </c>
      <c r="G36" s="264">
        <f t="shared" si="7"/>
        <v>37795.839999999997</v>
      </c>
      <c r="I36" s="74">
        <v>854.78</v>
      </c>
      <c r="J36" s="119">
        <f>Sheet1!I53</f>
        <v>590.55999999999995</v>
      </c>
      <c r="K36" s="119">
        <f>Sheet1!J53</f>
        <v>10</v>
      </c>
      <c r="L36" s="119">
        <f>Sheet1!K53</f>
        <v>10</v>
      </c>
      <c r="M36" s="118">
        <f t="shared" si="0"/>
        <v>610.55999999999995</v>
      </c>
      <c r="N36" s="118">
        <f t="shared" si="1"/>
        <v>854.78399999999988</v>
      </c>
    </row>
    <row r="37" spans="1:14" s="74" customFormat="1" ht="31.9" customHeight="1" x14ac:dyDescent="0.25">
      <c r="A37" s="242" t="s">
        <v>41</v>
      </c>
      <c r="B37" s="61" t="s">
        <v>135</v>
      </c>
      <c r="C37" s="70" t="s">
        <v>126</v>
      </c>
      <c r="D37" s="62">
        <v>6</v>
      </c>
      <c r="E37" s="63" t="s">
        <v>26</v>
      </c>
      <c r="F37" s="261">
        <f t="shared" si="6"/>
        <v>663.76</v>
      </c>
      <c r="G37" s="264">
        <f>(F37*D37)</f>
        <v>3982.56</v>
      </c>
      <c r="I37" s="74">
        <v>957.26</v>
      </c>
      <c r="J37" s="119">
        <f>Sheet1!I52</f>
        <v>663.76</v>
      </c>
      <c r="K37" s="119">
        <f>Sheet1!J52</f>
        <v>10</v>
      </c>
      <c r="L37" s="119">
        <f>Sheet1!K52</f>
        <v>10</v>
      </c>
      <c r="M37" s="118">
        <f t="shared" si="0"/>
        <v>683.76</v>
      </c>
      <c r="N37" s="118">
        <f t="shared" si="1"/>
        <v>957.2639999999999</v>
      </c>
    </row>
    <row r="38" spans="1:14" s="74" customFormat="1" ht="31.9" customHeight="1" x14ac:dyDescent="0.25">
      <c r="A38" s="242" t="s">
        <v>40</v>
      </c>
      <c r="B38" s="61" t="s">
        <v>136</v>
      </c>
      <c r="C38" s="70" t="s">
        <v>44</v>
      </c>
      <c r="D38" s="62">
        <v>3</v>
      </c>
      <c r="E38" s="63" t="s">
        <v>26</v>
      </c>
      <c r="F38" s="261">
        <f t="shared" si="6"/>
        <v>885.84</v>
      </c>
      <c r="G38" s="264">
        <f>(F38*D38)</f>
        <v>2657.52</v>
      </c>
      <c r="I38" s="74">
        <v>1268.18</v>
      </c>
      <c r="J38" s="119">
        <f>Sheet1!I51</f>
        <v>885.84</v>
      </c>
      <c r="K38" s="119">
        <f>Sheet1!J51</f>
        <v>10</v>
      </c>
      <c r="L38" s="119">
        <f>Sheet1!K51</f>
        <v>10</v>
      </c>
      <c r="M38" s="118">
        <f t="shared" si="0"/>
        <v>905.84</v>
      </c>
      <c r="N38" s="118">
        <f t="shared" si="1"/>
        <v>1268.1759999999999</v>
      </c>
    </row>
    <row r="39" spans="1:14" s="74" customFormat="1" ht="31.9" customHeight="1" x14ac:dyDescent="0.25">
      <c r="A39" s="242" t="s">
        <v>43</v>
      </c>
      <c r="B39" s="61" t="s">
        <v>137</v>
      </c>
      <c r="C39" s="70" t="s">
        <v>81</v>
      </c>
      <c r="D39" s="62">
        <v>1</v>
      </c>
      <c r="E39" s="63" t="s">
        <v>26</v>
      </c>
      <c r="F39" s="261">
        <f t="shared" si="6"/>
        <v>1547.17</v>
      </c>
      <c r="G39" s="264">
        <f>(F39*D39)</f>
        <v>1547.17</v>
      </c>
      <c r="I39" s="74">
        <v>2194</v>
      </c>
      <c r="J39" s="119">
        <f>Sheet1!I50</f>
        <v>1547.17</v>
      </c>
      <c r="K39" s="119">
        <f>Sheet1!J50</f>
        <v>10</v>
      </c>
      <c r="L39" s="119">
        <f>Sheet1!K50</f>
        <v>10</v>
      </c>
      <c r="M39" s="118">
        <f t="shared" si="0"/>
        <v>1567.17</v>
      </c>
      <c r="N39" s="118">
        <f t="shared" si="1"/>
        <v>2194.038</v>
      </c>
    </row>
    <row r="40" spans="1:14" ht="19.899999999999999" hidden="1" customHeight="1" x14ac:dyDescent="0.25">
      <c r="A40" s="242" t="s">
        <v>36</v>
      </c>
      <c r="B40" s="61" t="s">
        <v>138</v>
      </c>
      <c r="C40" s="70" t="s">
        <v>82</v>
      </c>
      <c r="D40" s="62">
        <v>75</v>
      </c>
      <c r="E40" s="63" t="s">
        <v>26</v>
      </c>
      <c r="F40" s="261">
        <v>0</v>
      </c>
      <c r="G40" s="264">
        <f t="shared" si="7"/>
        <v>0</v>
      </c>
      <c r="I40" s="74">
        <v>504</v>
      </c>
      <c r="J40" s="119">
        <f>F40/1.4</f>
        <v>0</v>
      </c>
      <c r="K40" s="119">
        <v>0</v>
      </c>
      <c r="L40" s="119">
        <v>0</v>
      </c>
      <c r="M40" s="118">
        <f t="shared" si="0"/>
        <v>0</v>
      </c>
      <c r="N40" s="118">
        <f t="shared" si="1"/>
        <v>0</v>
      </c>
    </row>
    <row r="41" spans="1:14" ht="19.899999999999999" hidden="1" customHeight="1" x14ac:dyDescent="0.25">
      <c r="A41" s="242" t="s">
        <v>37</v>
      </c>
      <c r="B41" s="61" t="s">
        <v>139</v>
      </c>
      <c r="C41" s="70" t="s">
        <v>127</v>
      </c>
      <c r="D41" s="62">
        <v>1</v>
      </c>
      <c r="E41" s="63" t="s">
        <v>26</v>
      </c>
      <c r="F41" s="261">
        <v>0</v>
      </c>
      <c r="G41" s="264">
        <f t="shared" si="7"/>
        <v>0</v>
      </c>
      <c r="I41" s="74">
        <v>9443</v>
      </c>
      <c r="J41" s="119">
        <f>Sheet1!I85</f>
        <v>6235</v>
      </c>
      <c r="K41" s="119">
        <f>Sheet1!J85</f>
        <v>500</v>
      </c>
      <c r="L41" s="119">
        <f>Sheet1!K85</f>
        <v>10</v>
      </c>
      <c r="M41" s="118">
        <f t="shared" si="0"/>
        <v>6745</v>
      </c>
      <c r="N41" s="118">
        <f t="shared" si="1"/>
        <v>9443</v>
      </c>
    </row>
    <row r="42" spans="1:14" ht="15.75" hidden="1" x14ac:dyDescent="0.25">
      <c r="A42" s="242" t="s">
        <v>38</v>
      </c>
      <c r="B42" s="61" t="s">
        <v>140</v>
      </c>
      <c r="C42" s="70" t="s">
        <v>128</v>
      </c>
      <c r="D42" s="62">
        <v>1</v>
      </c>
      <c r="E42" s="63"/>
      <c r="F42" s="261">
        <f t="shared" ref="F42:F48" si="8">I42*$I$10</f>
        <v>0</v>
      </c>
      <c r="G42" s="264">
        <f t="shared" si="7"/>
        <v>0</v>
      </c>
      <c r="J42" s="119"/>
      <c r="K42" s="119"/>
      <c r="L42" s="119"/>
      <c r="M42" s="118">
        <f t="shared" si="0"/>
        <v>0</v>
      </c>
      <c r="N42" s="118">
        <f t="shared" si="1"/>
        <v>0</v>
      </c>
    </row>
    <row r="43" spans="1:14" ht="15.75" hidden="1" x14ac:dyDescent="0.25">
      <c r="A43" s="242" t="s">
        <v>39</v>
      </c>
      <c r="B43" s="61" t="s">
        <v>141</v>
      </c>
      <c r="C43" s="70" t="s">
        <v>129</v>
      </c>
      <c r="D43" s="62"/>
      <c r="E43" s="63"/>
      <c r="F43" s="261">
        <f t="shared" si="8"/>
        <v>0</v>
      </c>
      <c r="G43" s="264">
        <f t="shared" si="7"/>
        <v>0</v>
      </c>
      <c r="J43" s="119"/>
      <c r="K43" s="119"/>
      <c r="L43" s="119"/>
      <c r="M43" s="118">
        <f t="shared" si="0"/>
        <v>0</v>
      </c>
      <c r="N43" s="118">
        <f t="shared" si="1"/>
        <v>0</v>
      </c>
    </row>
    <row r="44" spans="1:14" ht="15.75" hidden="1" x14ac:dyDescent="0.25">
      <c r="A44" s="242" t="s">
        <v>41</v>
      </c>
      <c r="B44" s="61" t="s">
        <v>142</v>
      </c>
      <c r="C44" s="70" t="s">
        <v>130</v>
      </c>
      <c r="D44" s="62"/>
      <c r="E44" s="63"/>
      <c r="F44" s="261">
        <f t="shared" si="8"/>
        <v>0</v>
      </c>
      <c r="G44" s="264">
        <f>(F44*D44)</f>
        <v>0</v>
      </c>
      <c r="J44" s="119"/>
      <c r="K44" s="119"/>
      <c r="L44" s="119"/>
      <c r="M44" s="118">
        <f t="shared" si="0"/>
        <v>0</v>
      </c>
      <c r="N44" s="118">
        <f t="shared" si="1"/>
        <v>0</v>
      </c>
    </row>
    <row r="45" spans="1:14" ht="15.75" hidden="1" x14ac:dyDescent="0.25">
      <c r="A45" s="242" t="s">
        <v>40</v>
      </c>
      <c r="B45" s="61" t="s">
        <v>143</v>
      </c>
      <c r="C45" s="70" t="s">
        <v>131</v>
      </c>
      <c r="D45" s="62"/>
      <c r="E45" s="63"/>
      <c r="F45" s="261">
        <f t="shared" si="8"/>
        <v>0</v>
      </c>
      <c r="G45" s="264">
        <f>(F45*D45)</f>
        <v>0</v>
      </c>
      <c r="J45" s="119"/>
      <c r="K45" s="119"/>
      <c r="L45" s="119"/>
      <c r="M45" s="118">
        <f t="shared" si="0"/>
        <v>0</v>
      </c>
      <c r="N45" s="118">
        <f t="shared" si="1"/>
        <v>0</v>
      </c>
    </row>
    <row r="46" spans="1:14" ht="15.75" hidden="1" x14ac:dyDescent="0.25">
      <c r="A46" s="242" t="s">
        <v>40</v>
      </c>
      <c r="B46" s="61" t="s">
        <v>144</v>
      </c>
      <c r="C46" s="70" t="s">
        <v>132</v>
      </c>
      <c r="D46" s="62"/>
      <c r="E46" s="63"/>
      <c r="F46" s="261">
        <f t="shared" si="8"/>
        <v>0</v>
      </c>
      <c r="G46" s="264">
        <f>(F46*D46)</f>
        <v>0</v>
      </c>
      <c r="J46" s="119"/>
      <c r="K46" s="119"/>
      <c r="L46" s="119"/>
      <c r="M46" s="118">
        <f t="shared" si="0"/>
        <v>0</v>
      </c>
      <c r="N46" s="118">
        <f t="shared" si="1"/>
        <v>0</v>
      </c>
    </row>
    <row r="47" spans="1:14" ht="15.75" hidden="1" x14ac:dyDescent="0.25">
      <c r="A47" s="242" t="s">
        <v>43</v>
      </c>
      <c r="B47" s="61" t="s">
        <v>145</v>
      </c>
      <c r="C47" s="70" t="s">
        <v>133</v>
      </c>
      <c r="D47" s="62"/>
      <c r="E47" s="63"/>
      <c r="F47" s="261">
        <f t="shared" si="8"/>
        <v>0</v>
      </c>
      <c r="G47" s="264">
        <f>(F47*D47)</f>
        <v>0</v>
      </c>
      <c r="J47" s="119"/>
      <c r="K47" s="119"/>
      <c r="L47" s="119"/>
      <c r="M47" s="118">
        <f t="shared" si="0"/>
        <v>0</v>
      </c>
      <c r="N47" s="118">
        <f t="shared" si="1"/>
        <v>0</v>
      </c>
    </row>
    <row r="48" spans="1:14" ht="15.75" hidden="1" x14ac:dyDescent="0.25">
      <c r="A48" s="242" t="s">
        <v>42</v>
      </c>
      <c r="B48" s="61" t="s">
        <v>146</v>
      </c>
      <c r="C48" s="70"/>
      <c r="D48" s="62"/>
      <c r="E48" s="63"/>
      <c r="F48" s="261">
        <f t="shared" si="8"/>
        <v>0</v>
      </c>
      <c r="G48" s="264">
        <f>(F48*D48)</f>
        <v>0</v>
      </c>
      <c r="J48" s="119"/>
      <c r="K48" s="119"/>
      <c r="L48" s="119"/>
      <c r="M48" s="118">
        <f t="shared" si="0"/>
        <v>0</v>
      </c>
      <c r="N48" s="118">
        <f t="shared" si="1"/>
        <v>0</v>
      </c>
    </row>
    <row r="49" spans="1:14" ht="21" customHeight="1" x14ac:dyDescent="0.25">
      <c r="A49" s="244" t="s">
        <v>34</v>
      </c>
      <c r="B49" s="65" t="s">
        <v>89</v>
      </c>
      <c r="C49" s="66" t="s">
        <v>166</v>
      </c>
      <c r="D49" s="67"/>
      <c r="E49" s="68"/>
      <c r="F49" s="260"/>
      <c r="G49" s="263">
        <f>SUM(G50:G51)</f>
        <v>103198</v>
      </c>
      <c r="J49" s="119"/>
      <c r="K49" s="119"/>
      <c r="L49" s="119"/>
      <c r="M49" s="118">
        <f t="shared" si="0"/>
        <v>0</v>
      </c>
      <c r="N49" s="118">
        <f t="shared" si="1"/>
        <v>0</v>
      </c>
    </row>
    <row r="50" spans="1:14" s="74" customFormat="1" ht="31.9" customHeight="1" x14ac:dyDescent="0.25">
      <c r="A50" s="242" t="s">
        <v>35</v>
      </c>
      <c r="B50" s="61" t="s">
        <v>164</v>
      </c>
      <c r="C50" s="70" t="s">
        <v>167</v>
      </c>
      <c r="D50" s="62">
        <v>1</v>
      </c>
      <c r="E50" s="63" t="s">
        <v>26</v>
      </c>
      <c r="F50" s="261">
        <f>J50</f>
        <v>5198</v>
      </c>
      <c r="G50" s="264">
        <f t="shared" ref="G50:G51" si="9">(F50*D50)</f>
        <v>5198</v>
      </c>
      <c r="I50" s="74">
        <v>8411.2000000000007</v>
      </c>
      <c r="J50" s="119">
        <f>Sheet1!I49</f>
        <v>5198</v>
      </c>
      <c r="K50" s="119">
        <f>Sheet1!J49</f>
        <v>800</v>
      </c>
      <c r="L50" s="119">
        <f>Sheet1!K49</f>
        <v>10</v>
      </c>
      <c r="M50" s="118">
        <f t="shared" si="0"/>
        <v>6008</v>
      </c>
      <c r="N50" s="118">
        <f t="shared" si="1"/>
        <v>8411.1999999999989</v>
      </c>
    </row>
    <row r="51" spans="1:14" s="74" customFormat="1" ht="31.9" customHeight="1" x14ac:dyDescent="0.25">
      <c r="A51" s="242" t="s">
        <v>36</v>
      </c>
      <c r="B51" s="61" t="s">
        <v>165</v>
      </c>
      <c r="C51" s="70" t="s">
        <v>82</v>
      </c>
      <c r="D51" s="62">
        <v>1</v>
      </c>
      <c r="E51" s="63" t="s">
        <v>32</v>
      </c>
      <c r="F51" s="261">
        <v>98000</v>
      </c>
      <c r="G51" s="264">
        <f t="shared" si="9"/>
        <v>98000</v>
      </c>
      <c r="I51" s="74">
        <v>133647.09999999998</v>
      </c>
      <c r="J51" s="119">
        <v>93934.818857142847</v>
      </c>
      <c r="K51" s="119">
        <v>0</v>
      </c>
      <c r="L51" s="119">
        <v>0</v>
      </c>
      <c r="M51" s="118">
        <f t="shared" si="0"/>
        <v>93934.818857142847</v>
      </c>
      <c r="N51" s="118">
        <f t="shared" si="1"/>
        <v>131508.74639999997</v>
      </c>
    </row>
    <row r="52" spans="1:14" ht="22.9" customHeight="1" x14ac:dyDescent="0.25">
      <c r="A52" s="240">
        <v>4</v>
      </c>
      <c r="B52" s="75">
        <v>5</v>
      </c>
      <c r="C52" s="76" t="s">
        <v>45</v>
      </c>
      <c r="D52" s="77"/>
      <c r="E52" s="77"/>
      <c r="F52" s="259"/>
      <c r="G52" s="262">
        <f>G53</f>
        <v>390799.11159999995</v>
      </c>
      <c r="J52" s="119"/>
      <c r="K52" s="119"/>
      <c r="L52" s="119"/>
      <c r="M52" s="118">
        <f t="shared" si="0"/>
        <v>0</v>
      </c>
      <c r="N52" s="118">
        <f t="shared" si="1"/>
        <v>0</v>
      </c>
    </row>
    <row r="53" spans="1:14" ht="21" customHeight="1" x14ac:dyDescent="0.25">
      <c r="A53" s="244" t="s">
        <v>46</v>
      </c>
      <c r="B53" s="65" t="s">
        <v>54</v>
      </c>
      <c r="C53" s="66" t="s">
        <v>17</v>
      </c>
      <c r="D53" s="67"/>
      <c r="E53" s="68"/>
      <c r="F53" s="260"/>
      <c r="G53" s="263">
        <f>SUM(G54:G61)</f>
        <v>390799.11159999995</v>
      </c>
      <c r="J53" s="119"/>
      <c r="K53" s="119"/>
      <c r="L53" s="119"/>
      <c r="M53" s="118">
        <f t="shared" si="0"/>
        <v>0</v>
      </c>
      <c r="N53" s="118">
        <f t="shared" si="1"/>
        <v>0</v>
      </c>
    </row>
    <row r="54" spans="1:14" s="74" customFormat="1" ht="31.9" customHeight="1" x14ac:dyDescent="0.25">
      <c r="A54" s="242" t="s">
        <v>47</v>
      </c>
      <c r="B54" s="61" t="s">
        <v>54</v>
      </c>
      <c r="C54" s="70" t="s">
        <v>48</v>
      </c>
      <c r="D54" s="62">
        <v>4328.88</v>
      </c>
      <c r="E54" s="63" t="s">
        <v>19</v>
      </c>
      <c r="F54" s="261">
        <f>J54</f>
        <v>32.028333333333329</v>
      </c>
      <c r="G54" s="264">
        <f t="shared" ref="G54:G61" si="10">(F54*D54)</f>
        <v>138646.81159999999</v>
      </c>
      <c r="I54" s="74">
        <v>71.86</v>
      </c>
      <c r="J54" s="119">
        <f>Sheet1!I96</f>
        <v>32.028333333333329</v>
      </c>
      <c r="K54" s="119">
        <f>Sheet1!J96</f>
        <v>12.809740259740259</v>
      </c>
      <c r="L54" s="119">
        <f>Sheet1!K96</f>
        <v>5.0893181818181823</v>
      </c>
      <c r="M54" s="118">
        <f t="shared" si="0"/>
        <v>49.927391774891774</v>
      </c>
      <c r="N54" s="118">
        <f t="shared" si="1"/>
        <v>69.898348484848484</v>
      </c>
    </row>
    <row r="55" spans="1:14" s="74" customFormat="1" ht="31.9" customHeight="1" x14ac:dyDescent="0.25">
      <c r="A55" s="242" t="s">
        <v>49</v>
      </c>
      <c r="B55" s="61" t="s">
        <v>56</v>
      </c>
      <c r="C55" s="70" t="s">
        <v>153</v>
      </c>
      <c r="D55" s="62">
        <v>267.26</v>
      </c>
      <c r="E55" s="63" t="s">
        <v>19</v>
      </c>
      <c r="F55" s="261">
        <f>J55</f>
        <v>55</v>
      </c>
      <c r="G55" s="264">
        <f t="shared" si="10"/>
        <v>14699.3</v>
      </c>
      <c r="I55" s="74">
        <v>104.02000000000001</v>
      </c>
      <c r="J55" s="119">
        <f>Sheet1!I97</f>
        <v>55</v>
      </c>
      <c r="K55" s="119">
        <f>Sheet1!J97</f>
        <v>12.809740259740259</v>
      </c>
      <c r="L55" s="119">
        <f>Sheet1!K97</f>
        <v>5.0893181818181823</v>
      </c>
      <c r="M55" s="118">
        <f t="shared" si="0"/>
        <v>72.899058441558452</v>
      </c>
      <c r="N55" s="118">
        <f t="shared" si="1"/>
        <v>102.05868181818182</v>
      </c>
    </row>
    <row r="56" spans="1:14" s="74" customFormat="1" ht="31.9" customHeight="1" x14ac:dyDescent="0.25">
      <c r="A56" s="242" t="s">
        <v>50</v>
      </c>
      <c r="B56" s="61" t="s">
        <v>147</v>
      </c>
      <c r="C56" s="70" t="s">
        <v>154</v>
      </c>
      <c r="D56" s="62">
        <v>54</v>
      </c>
      <c r="E56" s="63" t="s">
        <v>26</v>
      </c>
      <c r="F56" s="261">
        <f>J56</f>
        <v>480</v>
      </c>
      <c r="G56" s="264">
        <f t="shared" si="10"/>
        <v>25920</v>
      </c>
      <c r="I56" s="74">
        <v>4163.8989199668749</v>
      </c>
      <c r="J56" s="119">
        <v>480</v>
      </c>
      <c r="K56" s="119">
        <f>Sheet1!J98</f>
        <v>700</v>
      </c>
      <c r="L56" s="119">
        <f>Sheet1!K98</f>
        <v>32.062704545454544</v>
      </c>
      <c r="M56" s="118">
        <f t="shared" si="0"/>
        <v>1212.0627045454546</v>
      </c>
      <c r="N56" s="118">
        <f t="shared" si="1"/>
        <v>1696.8877863636365</v>
      </c>
    </row>
    <row r="57" spans="1:14" s="74" customFormat="1" ht="31.9" customHeight="1" x14ac:dyDescent="0.25">
      <c r="A57" s="242" t="s">
        <v>49</v>
      </c>
      <c r="B57" s="61" t="s">
        <v>148</v>
      </c>
      <c r="C57" s="70" t="s">
        <v>155</v>
      </c>
      <c r="D57" s="62">
        <v>1</v>
      </c>
      <c r="E57" s="63" t="s">
        <v>26</v>
      </c>
      <c r="F57" s="261">
        <f>J57</f>
        <v>480</v>
      </c>
      <c r="G57" s="264">
        <f t="shared" si="10"/>
        <v>480</v>
      </c>
      <c r="I57" s="74">
        <v>5929.3765649999996</v>
      </c>
      <c r="J57" s="119">
        <v>480</v>
      </c>
      <c r="K57" s="119">
        <f>K56*1.1</f>
        <v>770.00000000000011</v>
      </c>
      <c r="L57" s="119">
        <f>L56*1.1</f>
        <v>35.268975000000005</v>
      </c>
      <c r="M57" s="118">
        <f>SUM(J57:L57)</f>
        <v>1285.268975</v>
      </c>
      <c r="N57" s="118">
        <f>M57*$J$2</f>
        <v>1799.3765649999998</v>
      </c>
    </row>
    <row r="58" spans="1:14" s="74" customFormat="1" ht="31.9" customHeight="1" x14ac:dyDescent="0.25">
      <c r="A58" s="242" t="s">
        <v>50</v>
      </c>
      <c r="B58" s="61" t="s">
        <v>149</v>
      </c>
      <c r="C58" s="70" t="s">
        <v>156</v>
      </c>
      <c r="D58" s="62">
        <v>1</v>
      </c>
      <c r="E58" s="63" t="s">
        <v>26</v>
      </c>
      <c r="F58" s="261">
        <f>J58</f>
        <v>480</v>
      </c>
      <c r="G58" s="264">
        <f t="shared" si="10"/>
        <v>480</v>
      </c>
      <c r="I58" s="74">
        <v>7022.1142214999991</v>
      </c>
      <c r="J58" s="119">
        <v>480</v>
      </c>
      <c r="K58" s="119">
        <f>K57*1.1</f>
        <v>847.00000000000023</v>
      </c>
      <c r="L58" s="119">
        <f>L57*1.1</f>
        <v>38.795872500000009</v>
      </c>
      <c r="M58" s="118">
        <f>SUM(J58:L58)</f>
        <v>1365.7958725000003</v>
      </c>
      <c r="N58" s="118">
        <f>M58*$J$2</f>
        <v>1912.1142215000002</v>
      </c>
    </row>
    <row r="59" spans="1:14" s="74" customFormat="1" ht="31.9" customHeight="1" x14ac:dyDescent="0.25">
      <c r="A59" s="242" t="s">
        <v>49</v>
      </c>
      <c r="B59" s="61" t="s">
        <v>150</v>
      </c>
      <c r="C59" s="70" t="s">
        <v>52</v>
      </c>
      <c r="D59" s="62">
        <v>709</v>
      </c>
      <c r="E59" s="63" t="s">
        <v>26</v>
      </c>
      <c r="F59" s="261">
        <f>MAT.!E100*1.8</f>
        <v>297</v>
      </c>
      <c r="G59" s="264">
        <f t="shared" si="10"/>
        <v>210573</v>
      </c>
      <c r="I59" s="74">
        <v>349.9</v>
      </c>
      <c r="J59" s="119"/>
      <c r="K59" s="119"/>
      <c r="L59" s="119"/>
      <c r="M59" s="118">
        <f t="shared" ref="M59:M72" si="11">SUM(J59:L59)</f>
        <v>0</v>
      </c>
      <c r="N59" s="118">
        <f t="shared" ref="N59:N72" si="12">M59*$J$2</f>
        <v>0</v>
      </c>
    </row>
    <row r="60" spans="1:14" ht="16.149999999999999" hidden="1" customHeight="1" x14ac:dyDescent="0.25">
      <c r="A60" s="242" t="s">
        <v>50</v>
      </c>
      <c r="B60" s="61" t="s">
        <v>151</v>
      </c>
      <c r="C60" s="70" t="s">
        <v>157</v>
      </c>
      <c r="D60" s="62"/>
      <c r="E60" s="63"/>
      <c r="F60" s="261"/>
      <c r="G60" s="264">
        <f t="shared" si="10"/>
        <v>0</v>
      </c>
      <c r="J60" s="119"/>
      <c r="K60" s="119"/>
      <c r="L60" s="119"/>
      <c r="M60" s="118">
        <f t="shared" si="11"/>
        <v>0</v>
      </c>
      <c r="N60" s="118">
        <f t="shared" si="12"/>
        <v>0</v>
      </c>
    </row>
    <row r="61" spans="1:14" ht="19.899999999999999" hidden="1" customHeight="1" x14ac:dyDescent="0.25">
      <c r="A61" s="242" t="s">
        <v>49</v>
      </c>
      <c r="B61" s="61" t="s">
        <v>152</v>
      </c>
      <c r="C61" s="70" t="s">
        <v>158</v>
      </c>
      <c r="D61" s="62"/>
      <c r="E61" s="63"/>
      <c r="F61" s="261"/>
      <c r="G61" s="264">
        <f t="shared" si="10"/>
        <v>0</v>
      </c>
      <c r="J61" s="119"/>
      <c r="K61" s="119"/>
      <c r="L61" s="119"/>
      <c r="M61" s="118">
        <f t="shared" si="11"/>
        <v>0</v>
      </c>
      <c r="N61" s="118">
        <f t="shared" si="12"/>
        <v>0</v>
      </c>
    </row>
    <row r="62" spans="1:14" ht="22.9" customHeight="1" x14ac:dyDescent="0.25">
      <c r="A62" s="240">
        <v>5</v>
      </c>
      <c r="B62" s="75">
        <v>6</v>
      </c>
      <c r="C62" s="76" t="s">
        <v>53</v>
      </c>
      <c r="D62" s="77"/>
      <c r="E62" s="77"/>
      <c r="F62" s="259"/>
      <c r="G62" s="262">
        <f>SUBTOTAL(9,G63:G63)</f>
        <v>397038.70752</v>
      </c>
      <c r="J62" s="119"/>
      <c r="K62" s="119"/>
      <c r="L62" s="119"/>
      <c r="M62" s="118">
        <f t="shared" si="11"/>
        <v>0</v>
      </c>
      <c r="N62" s="118">
        <f t="shared" si="12"/>
        <v>0</v>
      </c>
    </row>
    <row r="63" spans="1:14" s="74" customFormat="1" ht="31.9" customHeight="1" x14ac:dyDescent="0.25">
      <c r="A63" s="242" t="s">
        <v>54</v>
      </c>
      <c r="B63" s="61" t="s">
        <v>58</v>
      </c>
      <c r="C63" s="70" t="s">
        <v>447</v>
      </c>
      <c r="D63" s="62">
        <f>8679.58*0.0953</f>
        <v>827.16397399999994</v>
      </c>
      <c r="E63" s="63" t="s">
        <v>11</v>
      </c>
      <c r="F63" s="261">
        <v>480</v>
      </c>
      <c r="G63" s="264">
        <f>(F63*D63)</f>
        <v>397038.70752</v>
      </c>
      <c r="I63" s="74">
        <v>76.39</v>
      </c>
      <c r="J63" s="119">
        <v>480</v>
      </c>
      <c r="K63" s="119">
        <f>Sheet1!J32</f>
        <v>12.5</v>
      </c>
      <c r="L63" s="119">
        <f>Sheet1!K32</f>
        <v>2.0357272727272728</v>
      </c>
      <c r="M63" s="118">
        <f t="shared" si="11"/>
        <v>494.53572727272729</v>
      </c>
      <c r="N63" s="118">
        <f t="shared" si="12"/>
        <v>692.3500181818182</v>
      </c>
    </row>
    <row r="64" spans="1:14" ht="22.9" customHeight="1" x14ac:dyDescent="0.25">
      <c r="A64" s="240">
        <v>6</v>
      </c>
      <c r="B64" s="75">
        <v>7</v>
      </c>
      <c r="C64" s="76" t="s">
        <v>57</v>
      </c>
      <c r="D64" s="77"/>
      <c r="E64" s="77"/>
      <c r="F64" s="259"/>
      <c r="G64" s="262">
        <f>G65+G71</f>
        <v>1715141.8967199998</v>
      </c>
      <c r="J64" s="119"/>
      <c r="K64" s="119"/>
      <c r="L64" s="119"/>
      <c r="M64" s="118">
        <f t="shared" si="11"/>
        <v>0</v>
      </c>
      <c r="N64" s="118">
        <f t="shared" si="12"/>
        <v>0</v>
      </c>
    </row>
    <row r="65" spans="1:17" ht="21" customHeight="1" x14ac:dyDescent="0.25">
      <c r="A65" s="244" t="s">
        <v>58</v>
      </c>
      <c r="B65" s="65" t="s">
        <v>68</v>
      </c>
      <c r="C65" s="66" t="s">
        <v>87</v>
      </c>
      <c r="D65" s="67"/>
      <c r="E65" s="68"/>
      <c r="F65" s="260"/>
      <c r="G65" s="263">
        <f>SUM(G66:G70)</f>
        <v>1678932.1967199999</v>
      </c>
      <c r="J65" s="119"/>
      <c r="K65" s="119"/>
      <c r="L65" s="119"/>
      <c r="M65" s="118">
        <f t="shared" si="11"/>
        <v>0</v>
      </c>
      <c r="N65" s="118">
        <f t="shared" si="12"/>
        <v>0</v>
      </c>
    </row>
    <row r="66" spans="1:17" s="74" customFormat="1" ht="31.9" customHeight="1" x14ac:dyDescent="0.25">
      <c r="A66" s="242" t="s">
        <v>63</v>
      </c>
      <c r="B66" s="61" t="s">
        <v>72</v>
      </c>
      <c r="C66" s="70" t="s">
        <v>160</v>
      </c>
      <c r="D66" s="62">
        <f>41066.806*0.1*2.1</f>
        <v>8624.0292599999993</v>
      </c>
      <c r="E66" s="63" t="s">
        <v>445</v>
      </c>
      <c r="F66" s="261">
        <v>45</v>
      </c>
      <c r="G66" s="264">
        <f t="shared" ref="G66:G70" si="13">(F66*D66)</f>
        <v>388081.31669999997</v>
      </c>
      <c r="I66" s="74">
        <v>22.330000000000002</v>
      </c>
      <c r="J66" s="119">
        <f>Sheet1!I28*0.1</f>
        <v>6.6000000000000005</v>
      </c>
      <c r="K66" s="119">
        <f>Sheet1!J28*0.1</f>
        <v>2.9472045454545457</v>
      </c>
      <c r="L66" s="119">
        <f>Sheet1!K28*0.1</f>
        <v>6.4</v>
      </c>
      <c r="M66" s="118">
        <f t="shared" si="11"/>
        <v>15.947204545454547</v>
      </c>
      <c r="N66" s="118">
        <f t="shared" si="12"/>
        <v>22.326086363636364</v>
      </c>
      <c r="P66" s="74">
        <f>D66/3</f>
        <v>2874.6764199999998</v>
      </c>
    </row>
    <row r="67" spans="1:17" s="74" customFormat="1" ht="31.9" customHeight="1" x14ac:dyDescent="0.25">
      <c r="A67" s="242" t="s">
        <v>64</v>
      </c>
      <c r="B67" s="61" t="s">
        <v>73</v>
      </c>
      <c r="C67" s="70" t="s">
        <v>453</v>
      </c>
      <c r="D67" s="62">
        <f>(41066.806*0.5)/1000</f>
        <v>20.533403</v>
      </c>
      <c r="E67" s="63" t="s">
        <v>445</v>
      </c>
      <c r="F67" s="261">
        <v>3900</v>
      </c>
      <c r="G67" s="264">
        <f t="shared" si="13"/>
        <v>80080.271699999998</v>
      </c>
      <c r="I67" s="74">
        <v>4.13</v>
      </c>
      <c r="J67" s="119">
        <f>Sheet1!I30</f>
        <v>2.4</v>
      </c>
      <c r="K67" s="119">
        <f>Sheet1!J30</f>
        <v>0.3</v>
      </c>
      <c r="L67" s="119">
        <f>Sheet1!K30</f>
        <v>0.2493181818181818</v>
      </c>
      <c r="M67" s="118">
        <f t="shared" si="11"/>
        <v>2.9493181818181817</v>
      </c>
      <c r="N67" s="118">
        <f t="shared" si="12"/>
        <v>4.1290454545454542</v>
      </c>
    </row>
    <row r="68" spans="1:17" s="74" customFormat="1" ht="31.9" customHeight="1" x14ac:dyDescent="0.25">
      <c r="A68" s="242"/>
      <c r="B68" s="61" t="s">
        <v>74</v>
      </c>
      <c r="C68" s="70" t="s">
        <v>454</v>
      </c>
      <c r="D68" s="62">
        <v>40000</v>
      </c>
      <c r="E68" s="63" t="s">
        <v>455</v>
      </c>
      <c r="F68" s="261">
        <v>6.5</v>
      </c>
      <c r="G68" s="264">
        <f t="shared" si="13"/>
        <v>260000</v>
      </c>
      <c r="J68" s="119"/>
      <c r="K68" s="119"/>
      <c r="L68" s="119"/>
      <c r="M68" s="118"/>
      <c r="N68" s="118"/>
    </row>
    <row r="69" spans="1:17" s="74" customFormat="1" ht="31.9" customHeight="1" x14ac:dyDescent="0.25">
      <c r="A69" s="242" t="s">
        <v>66</v>
      </c>
      <c r="B69" s="61" t="s">
        <v>456</v>
      </c>
      <c r="C69" s="70" t="s">
        <v>443</v>
      </c>
      <c r="D69" s="62">
        <f>D70*0.05+35</f>
        <v>182.84050160000001</v>
      </c>
      <c r="E69" s="63" t="s">
        <v>445</v>
      </c>
      <c r="F69" s="261">
        <v>5200</v>
      </c>
      <c r="G69" s="264">
        <f t="shared" ref="G69" si="14">(F69*D69)</f>
        <v>950770.60832</v>
      </c>
      <c r="I69" s="74">
        <v>48.2044</v>
      </c>
      <c r="J69" s="119">
        <f>Sheet1!I30*0.03</f>
        <v>7.1999999999999995E-2</v>
      </c>
      <c r="K69" s="119">
        <f>Sheet1!J30*0.03</f>
        <v>8.9999999999999993E-3</v>
      </c>
      <c r="L69" s="119">
        <f>Sheet1!K30*0.03</f>
        <v>7.479545454545454E-3</v>
      </c>
      <c r="M69" s="118">
        <f t="shared" ref="M69" si="15">SUM(J69:L69)</f>
        <v>8.847954545454545E-2</v>
      </c>
      <c r="N69" s="118">
        <f t="shared" ref="N69" si="16">M69*$J$2</f>
        <v>0.12387136363636363</v>
      </c>
    </row>
    <row r="70" spans="1:17" s="74" customFormat="1" ht="31.9" hidden="1" customHeight="1" x14ac:dyDescent="0.25">
      <c r="A70" s="242" t="s">
        <v>66</v>
      </c>
      <c r="B70" s="61" t="s">
        <v>74</v>
      </c>
      <c r="C70" s="70" t="s">
        <v>446</v>
      </c>
      <c r="D70" s="62">
        <f>41066.806*0.03*2.4</f>
        <v>2956.8100319999999</v>
      </c>
      <c r="E70" s="63" t="s">
        <v>445</v>
      </c>
      <c r="F70" s="261"/>
      <c r="G70" s="264">
        <f t="shared" si="13"/>
        <v>0</v>
      </c>
      <c r="I70" s="74">
        <v>48.2044</v>
      </c>
      <c r="J70" s="119">
        <f>Sheet1!I31*0.03</f>
        <v>27.734400000000001</v>
      </c>
      <c r="K70" s="119">
        <f>Sheet1!J31*0.03</f>
        <v>2.25</v>
      </c>
      <c r="L70" s="119">
        <f>Sheet1!K31*0.03</f>
        <v>4.4459999999999997</v>
      </c>
      <c r="M70" s="118">
        <f t="shared" si="11"/>
        <v>34.430399999999999</v>
      </c>
      <c r="N70" s="118">
        <f t="shared" si="12"/>
        <v>48.202559999999998</v>
      </c>
    </row>
    <row r="71" spans="1:17" ht="22.9" customHeight="1" x14ac:dyDescent="0.25">
      <c r="A71" s="240">
        <v>7</v>
      </c>
      <c r="B71" s="75">
        <v>8</v>
      </c>
      <c r="C71" s="76" t="s">
        <v>67</v>
      </c>
      <c r="D71" s="77"/>
      <c r="E71" s="77"/>
      <c r="F71" s="259"/>
      <c r="G71" s="262">
        <f>SUM(G72:G72)</f>
        <v>36209.700000000004</v>
      </c>
      <c r="J71" s="119"/>
      <c r="K71" s="119"/>
      <c r="L71" s="119"/>
      <c r="M71" s="118">
        <f t="shared" si="11"/>
        <v>0</v>
      </c>
      <c r="N71" s="118">
        <f t="shared" si="12"/>
        <v>0</v>
      </c>
    </row>
    <row r="72" spans="1:17" s="74" customFormat="1" ht="31.9" customHeight="1" x14ac:dyDescent="0.25">
      <c r="A72" s="242" t="s">
        <v>69</v>
      </c>
      <c r="B72" s="61" t="s">
        <v>75</v>
      </c>
      <c r="C72" s="70" t="s">
        <v>444</v>
      </c>
      <c r="D72" s="62">
        <f>1072.88*0.075</f>
        <v>80.466000000000008</v>
      </c>
      <c r="E72" s="63" t="s">
        <v>11</v>
      </c>
      <c r="F72" s="261">
        <v>450</v>
      </c>
      <c r="G72" s="264">
        <f t="shared" ref="G72" si="17">(F72*D72)</f>
        <v>36209.700000000004</v>
      </c>
      <c r="I72" s="74">
        <v>73.080000000000013</v>
      </c>
      <c r="J72" s="119"/>
      <c r="K72" s="119"/>
      <c r="L72" s="119"/>
      <c r="M72" s="118">
        <f t="shared" si="11"/>
        <v>0</v>
      </c>
      <c r="N72" s="118">
        <f t="shared" si="12"/>
        <v>0</v>
      </c>
    </row>
    <row r="73" spans="1:17" s="79" customFormat="1" ht="24" customHeight="1" thickBot="1" x14ac:dyDescent="0.4">
      <c r="A73" s="292" t="s">
        <v>5</v>
      </c>
      <c r="B73" s="293"/>
      <c r="C73" s="293"/>
      <c r="D73" s="288">
        <f>G10+G14+G30+G52+G62+G65+G71+G6</f>
        <v>3237265.3633233337</v>
      </c>
      <c r="E73" s="288"/>
      <c r="F73" s="288"/>
      <c r="G73" s="289"/>
      <c r="H73" s="78"/>
      <c r="I73" s="78"/>
      <c r="J73" s="120"/>
      <c r="K73" s="120"/>
      <c r="L73" s="120"/>
      <c r="M73" s="120"/>
      <c r="N73" s="120"/>
      <c r="O73" s="78"/>
      <c r="P73" s="78"/>
      <c r="Q73" s="78"/>
    </row>
    <row r="74" spans="1:17" ht="15.75" thickTop="1" x14ac:dyDescent="0.25"/>
    <row r="75" spans="1:17" x14ac:dyDescent="0.25">
      <c r="G75" s="127">
        <f>G71+G65+G62+G53+G49+G31+G15+G10+G6</f>
        <v>3237265.3633233327</v>
      </c>
    </row>
  </sheetData>
  <mergeCells count="8">
    <mergeCell ref="A73:C73"/>
    <mergeCell ref="D73:G73"/>
    <mergeCell ref="A1:A3"/>
    <mergeCell ref="B1:B3"/>
    <mergeCell ref="C1:C3"/>
    <mergeCell ref="E1:G1"/>
    <mergeCell ref="E2:G2"/>
    <mergeCell ref="A5:C5"/>
  </mergeCells>
  <phoneticPr fontId="17" type="noConversion"/>
  <printOptions horizontalCentered="1"/>
  <pageMargins left="0.51181102362204722" right="0.51181102362204722" top="0.98425196850393704" bottom="0.78740157480314965" header="0.31496062992125984" footer="0.31496062992125984"/>
  <pageSetup paperSize="9" scale="50" fitToHeight="0" orientation="portrait" r:id="rId1"/>
  <headerFooter>
    <oddHeader>&amp;R&amp;G</oddHeader>
    <oddFooter>&amp;C&amp;16Av. João Olímpio de Oliveira, nº 13 – Vila Asem – Itapetininga/SP.
F.: +55 015 99625-5365
comercial@af2engenhariaeservicos.com.br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5455-D0F7-4257-AFAA-625B684E9E1D}">
  <sheetPr>
    <pageSetUpPr fitToPage="1"/>
  </sheetPr>
  <dimension ref="B3:L38"/>
  <sheetViews>
    <sheetView showGridLines="0" zoomScale="70" zoomScaleNormal="70" zoomScaleSheetLayoutView="85" workbookViewId="0">
      <selection activeCell="E12" sqref="E12"/>
    </sheetView>
  </sheetViews>
  <sheetFormatPr defaultColWidth="8.85546875" defaultRowHeight="14.25" x14ac:dyDescent="0.2"/>
  <cols>
    <col min="1" max="1" width="8.85546875" style="123"/>
    <col min="2" max="2" width="45.5703125" style="123" customWidth="1"/>
    <col min="3" max="3" width="12.42578125" style="123" customWidth="1"/>
    <col min="4" max="4" width="23.5703125" style="123" bestFit="1" customWidth="1"/>
    <col min="5" max="9" width="18.140625" style="123" customWidth="1"/>
    <col min="10" max="11" width="19.140625" style="123" bestFit="1" customWidth="1"/>
    <col min="12" max="12" width="23.140625" style="123" bestFit="1" customWidth="1"/>
    <col min="13" max="16384" width="8.85546875" style="123"/>
  </cols>
  <sheetData>
    <row r="3" spans="2:12" ht="20.25" x14ac:dyDescent="0.3">
      <c r="B3" s="309" t="s">
        <v>369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</row>
    <row r="5" spans="2:12" ht="15" thickBot="1" x14ac:dyDescent="0.25"/>
    <row r="6" spans="2:12" ht="22.15" customHeight="1" thickTop="1" thickBot="1" x14ac:dyDescent="0.25">
      <c r="B6" s="213" t="s">
        <v>370</v>
      </c>
      <c r="C6" s="213" t="s">
        <v>371</v>
      </c>
      <c r="D6" s="213" t="s">
        <v>372</v>
      </c>
      <c r="E6" s="213" t="s">
        <v>373</v>
      </c>
      <c r="F6" s="213" t="s">
        <v>374</v>
      </c>
      <c r="G6" s="213" t="s">
        <v>375</v>
      </c>
      <c r="H6" s="214" t="s">
        <v>376</v>
      </c>
      <c r="I6" s="214" t="s">
        <v>377</v>
      </c>
      <c r="J6" s="214" t="s">
        <v>441</v>
      </c>
      <c r="K6" s="214" t="s">
        <v>442</v>
      </c>
      <c r="L6" s="265" t="s">
        <v>5</v>
      </c>
    </row>
    <row r="7" spans="2:12" ht="20.45" hidden="1" customHeight="1" thickTop="1" thickBot="1" x14ac:dyDescent="0.25">
      <c r="B7" s="310" t="s">
        <v>88</v>
      </c>
      <c r="C7" s="313">
        <f>D7/$D$34</f>
        <v>0</v>
      </c>
      <c r="D7" s="205">
        <f>ORÇAMENTO!G6</f>
        <v>0</v>
      </c>
      <c r="E7" s="218">
        <f>D7</f>
        <v>0</v>
      </c>
      <c r="F7" s="211"/>
      <c r="G7" s="211"/>
      <c r="H7" s="211"/>
      <c r="I7" s="210"/>
      <c r="J7" s="210"/>
      <c r="K7" s="210"/>
      <c r="L7" s="205">
        <f>SUM(E7:K7)</f>
        <v>0</v>
      </c>
    </row>
    <row r="8" spans="2:12" ht="9" hidden="1" customHeight="1" thickTop="1" x14ac:dyDescent="0.2">
      <c r="B8" s="311"/>
      <c r="C8" s="314"/>
      <c r="D8" s="206"/>
      <c r="E8" s="219"/>
      <c r="F8" s="212"/>
      <c r="G8" s="212"/>
      <c r="H8" s="212"/>
      <c r="I8" s="217"/>
      <c r="J8" s="217"/>
      <c r="K8" s="217"/>
      <c r="L8" s="206"/>
    </row>
    <row r="9" spans="2:12" s="221" customFormat="1" ht="20.45" hidden="1" customHeight="1" thickTop="1" x14ac:dyDescent="0.2">
      <c r="B9" s="312"/>
      <c r="C9" s="315"/>
      <c r="D9" s="222">
        <f>D7/$D$34</f>
        <v>0</v>
      </c>
      <c r="E9" s="223" t="e">
        <f>E7/$L7</f>
        <v>#DIV/0!</v>
      </c>
      <c r="F9" s="224"/>
      <c r="G9" s="224"/>
      <c r="H9" s="224"/>
      <c r="I9" s="225"/>
      <c r="J9" s="225"/>
      <c r="K9" s="225"/>
      <c r="L9" s="222" t="e">
        <f>SUM(E9:K9)</f>
        <v>#DIV/0!</v>
      </c>
    </row>
    <row r="10" spans="2:12" ht="25.9" customHeight="1" thickTop="1" x14ac:dyDescent="0.2">
      <c r="B10" s="310" t="s">
        <v>378</v>
      </c>
      <c r="C10" s="313">
        <f>D10/$D$34</f>
        <v>8.916560660828797E-2</v>
      </c>
      <c r="D10" s="205">
        <f>ORÇAMENTO!G10</f>
        <v>703505.93590799998</v>
      </c>
      <c r="E10" s="211">
        <f>$D10*E12</f>
        <v>492454.15513559995</v>
      </c>
      <c r="F10" s="211">
        <f>$D10*F12</f>
        <v>211051.7807724</v>
      </c>
      <c r="G10" s="211"/>
      <c r="H10" s="211"/>
      <c r="I10" s="210"/>
      <c r="J10" s="210"/>
      <c r="K10" s="246"/>
      <c r="L10" s="207">
        <f>SUM(E10:K10)</f>
        <v>703505.93590799998</v>
      </c>
    </row>
    <row r="11" spans="2:12" ht="9" customHeight="1" x14ac:dyDescent="0.2">
      <c r="B11" s="311"/>
      <c r="C11" s="314"/>
      <c r="D11" s="206"/>
      <c r="E11" s="219"/>
      <c r="F11" s="215"/>
      <c r="G11" s="216"/>
      <c r="H11" s="216"/>
      <c r="I11" s="252"/>
      <c r="J11" s="252"/>
      <c r="K11" s="220"/>
      <c r="L11" s="206"/>
    </row>
    <row r="12" spans="2:12" s="221" customFormat="1" ht="24" customHeight="1" thickBot="1" x14ac:dyDescent="0.25">
      <c r="B12" s="312"/>
      <c r="C12" s="315"/>
      <c r="D12" s="222">
        <f>D10/$D$34</f>
        <v>8.916560660828797E-2</v>
      </c>
      <c r="E12" s="223">
        <v>0.7</v>
      </c>
      <c r="F12" s="248">
        <v>0.3</v>
      </c>
      <c r="G12" s="226"/>
      <c r="H12" s="226"/>
      <c r="I12" s="253"/>
      <c r="J12" s="253"/>
      <c r="K12" s="227"/>
      <c r="L12" s="222">
        <f>SUM(E12:K12)</f>
        <v>1</v>
      </c>
    </row>
    <row r="13" spans="2:12" ht="25.9" customHeight="1" thickTop="1" x14ac:dyDescent="0.2">
      <c r="B13" s="310" t="s">
        <v>379</v>
      </c>
      <c r="C13" s="313">
        <f>D13/$D$34</f>
        <v>0.17300471373521223</v>
      </c>
      <c r="D13" s="205">
        <f>ORÇAMENTO!G15</f>
        <v>1364986.4301093998</v>
      </c>
      <c r="E13" s="211">
        <f>$D13*E15</f>
        <v>545994.57204375998</v>
      </c>
      <c r="F13" s="211">
        <f>$D13*F15</f>
        <v>409495.92903281993</v>
      </c>
      <c r="G13" s="211">
        <f>$D13*G15</f>
        <v>409495.92903281993</v>
      </c>
      <c r="H13" s="211"/>
      <c r="I13" s="210"/>
      <c r="J13" s="210"/>
      <c r="K13" s="246"/>
      <c r="L13" s="207">
        <f>SUM(E13:K13)</f>
        <v>1364986.4301093998</v>
      </c>
    </row>
    <row r="14" spans="2:12" ht="9" customHeight="1" x14ac:dyDescent="0.2">
      <c r="B14" s="311"/>
      <c r="C14" s="314"/>
      <c r="D14" s="206"/>
      <c r="E14" s="219"/>
      <c r="F14" s="215"/>
      <c r="G14" s="215"/>
      <c r="H14" s="216"/>
      <c r="I14" s="252"/>
      <c r="J14" s="252"/>
      <c r="K14" s="220"/>
      <c r="L14" s="206"/>
    </row>
    <row r="15" spans="2:12" s="221" customFormat="1" ht="24" customHeight="1" thickBot="1" x14ac:dyDescent="0.25">
      <c r="B15" s="312"/>
      <c r="C15" s="315"/>
      <c r="D15" s="222">
        <f>D13/$D$34</f>
        <v>0.17300471373521223</v>
      </c>
      <c r="E15" s="223">
        <v>0.4</v>
      </c>
      <c r="F15" s="248">
        <v>0.3</v>
      </c>
      <c r="G15" s="248">
        <v>0.3</v>
      </c>
      <c r="H15" s="248"/>
      <c r="I15" s="254"/>
      <c r="J15" s="254"/>
      <c r="K15" s="249"/>
      <c r="L15" s="222">
        <f>SUM(E15:K15)</f>
        <v>1</v>
      </c>
    </row>
    <row r="16" spans="2:12" ht="25.9" customHeight="1" thickTop="1" x14ac:dyDescent="0.2">
      <c r="B16" s="310" t="s">
        <v>380</v>
      </c>
      <c r="C16" s="313">
        <f>D16/$D$34</f>
        <v>5.7360196606879528E-2</v>
      </c>
      <c r="D16" s="205">
        <f>ORÇAMENTO!G31</f>
        <v>452565.067774</v>
      </c>
      <c r="E16" s="218"/>
      <c r="F16" s="211">
        <f>$D16*F18</f>
        <v>181026.02710960002</v>
      </c>
      <c r="G16" s="211">
        <f>$D16*G18</f>
        <v>90513.013554800011</v>
      </c>
      <c r="H16" s="211">
        <f>$D16*H18</f>
        <v>90513.013554800011</v>
      </c>
      <c r="I16" s="211">
        <f>$D16*I18</f>
        <v>90513.013554800011</v>
      </c>
      <c r="J16" s="210"/>
      <c r="K16" s="246"/>
      <c r="L16" s="207">
        <f>SUM(E16:K16)</f>
        <v>452565.06777400005</v>
      </c>
    </row>
    <row r="17" spans="2:12" ht="9" customHeight="1" x14ac:dyDescent="0.2">
      <c r="B17" s="311"/>
      <c r="C17" s="314"/>
      <c r="D17" s="206"/>
      <c r="E17" s="216"/>
      <c r="F17" s="215"/>
      <c r="G17" s="215"/>
      <c r="H17" s="215"/>
      <c r="I17" s="255"/>
      <c r="J17" s="252"/>
      <c r="K17" s="220"/>
      <c r="L17" s="206"/>
    </row>
    <row r="18" spans="2:12" s="221" customFormat="1" ht="24" customHeight="1" thickBot="1" x14ac:dyDescent="0.25">
      <c r="B18" s="312"/>
      <c r="C18" s="315"/>
      <c r="D18" s="222">
        <f>D16/$D$34</f>
        <v>5.7360196606879528E-2</v>
      </c>
      <c r="E18" s="223"/>
      <c r="F18" s="248">
        <v>0.4</v>
      </c>
      <c r="G18" s="248">
        <v>0.2</v>
      </c>
      <c r="H18" s="248">
        <v>0.2</v>
      </c>
      <c r="I18" s="248">
        <v>0.2</v>
      </c>
      <c r="J18" s="254"/>
      <c r="K18" s="249"/>
      <c r="L18" s="222">
        <f>SUM(E18:K18)</f>
        <v>1</v>
      </c>
    </row>
    <row r="19" spans="2:12" ht="25.9" customHeight="1" thickTop="1" x14ac:dyDescent="0.2">
      <c r="B19" s="310" t="s">
        <v>381</v>
      </c>
      <c r="C19" s="313">
        <f>D19/$D$34</f>
        <v>1.7645025535364713E-2</v>
      </c>
      <c r="D19" s="205">
        <f>ORÇAMENTO!G49</f>
        <v>139217.13399999999</v>
      </c>
      <c r="E19" s="218"/>
      <c r="F19" s="211"/>
      <c r="G19" s="211">
        <f>D19/3</f>
        <v>46405.711333333333</v>
      </c>
      <c r="H19" s="211">
        <f>G19</f>
        <v>46405.711333333333</v>
      </c>
      <c r="I19" s="210">
        <f>H19</f>
        <v>46405.711333333333</v>
      </c>
      <c r="J19" s="210"/>
      <c r="K19" s="246"/>
      <c r="L19" s="207">
        <f>SUM(E19:K19)</f>
        <v>139217.13399999999</v>
      </c>
    </row>
    <row r="20" spans="2:12" ht="9" customHeight="1" x14ac:dyDescent="0.2">
      <c r="B20" s="311"/>
      <c r="C20" s="314"/>
      <c r="D20" s="206"/>
      <c r="E20" s="216"/>
      <c r="F20" s="216"/>
      <c r="G20" s="215"/>
      <c r="H20" s="215"/>
      <c r="I20" s="255"/>
      <c r="J20" s="252"/>
      <c r="K20" s="220"/>
      <c r="L20" s="206"/>
    </row>
    <row r="21" spans="2:12" s="221" customFormat="1" ht="24" customHeight="1" thickBot="1" x14ac:dyDescent="0.25">
      <c r="B21" s="312"/>
      <c r="C21" s="315"/>
      <c r="D21" s="222">
        <f>D19/$D$34</f>
        <v>1.7645025535364713E-2</v>
      </c>
      <c r="E21" s="223"/>
      <c r="F21" s="248"/>
      <c r="G21" s="248">
        <f>G19/$L19</f>
        <v>0.33333333333333337</v>
      </c>
      <c r="H21" s="248">
        <f>H19/$L19</f>
        <v>0.33333333333333337</v>
      </c>
      <c r="I21" s="248">
        <f>I19/$L19</f>
        <v>0.33333333333333337</v>
      </c>
      <c r="J21" s="254"/>
      <c r="K21" s="249"/>
      <c r="L21" s="222">
        <f>SUM(E21:K21)</f>
        <v>1</v>
      </c>
    </row>
    <row r="22" spans="2:12" ht="25.9" customHeight="1" thickTop="1" x14ac:dyDescent="0.2">
      <c r="B22" s="310" t="s">
        <v>45</v>
      </c>
      <c r="C22" s="313">
        <f>D22/$D$34</f>
        <v>0.10244258951814381</v>
      </c>
      <c r="D22" s="205">
        <f>ORÇAMENTO!G52</f>
        <v>808259.73777541704</v>
      </c>
      <c r="E22" s="218"/>
      <c r="F22" s="256">
        <f>G22</f>
        <v>202064.93444385426</v>
      </c>
      <c r="G22" s="211">
        <f>D22/4</f>
        <v>202064.93444385426</v>
      </c>
      <c r="H22" s="211">
        <f>G22</f>
        <v>202064.93444385426</v>
      </c>
      <c r="I22" s="210">
        <f>H22</f>
        <v>202064.93444385426</v>
      </c>
      <c r="J22" s="210"/>
      <c r="K22" s="246"/>
      <c r="L22" s="207">
        <f>SUM(E22:K22)</f>
        <v>808259.73777541704</v>
      </c>
    </row>
    <row r="23" spans="2:12" ht="9" customHeight="1" x14ac:dyDescent="0.2">
      <c r="B23" s="311"/>
      <c r="C23" s="314"/>
      <c r="D23" s="206"/>
      <c r="E23" s="216"/>
      <c r="F23" s="255"/>
      <c r="G23" s="215"/>
      <c r="H23" s="215"/>
      <c r="I23" s="255"/>
      <c r="J23" s="252"/>
      <c r="K23" s="220"/>
      <c r="L23" s="206"/>
    </row>
    <row r="24" spans="2:12" s="221" customFormat="1" ht="24" customHeight="1" thickBot="1" x14ac:dyDescent="0.25">
      <c r="B24" s="312"/>
      <c r="C24" s="315"/>
      <c r="D24" s="222">
        <f>D22/$D$34</f>
        <v>0.10244258951814381</v>
      </c>
      <c r="E24" s="247"/>
      <c r="F24" s="248">
        <f t="shared" ref="F24" si="0">F22/$L22</f>
        <v>0.25</v>
      </c>
      <c r="G24" s="248">
        <f t="shared" ref="G24:I24" si="1">G22/$L22</f>
        <v>0.25</v>
      </c>
      <c r="H24" s="248">
        <f t="shared" si="1"/>
        <v>0.25</v>
      </c>
      <c r="I24" s="248">
        <f t="shared" si="1"/>
        <v>0.25</v>
      </c>
      <c r="J24" s="254"/>
      <c r="K24" s="250"/>
      <c r="L24" s="222">
        <f>SUM(E24:K24)</f>
        <v>1</v>
      </c>
    </row>
    <row r="25" spans="2:12" ht="25.9" customHeight="1" thickTop="1" x14ac:dyDescent="0.2">
      <c r="B25" s="310" t="s">
        <v>53</v>
      </c>
      <c r="C25" s="313">
        <f>D25/$D$34</f>
        <v>8.4876252579677833E-2</v>
      </c>
      <c r="D25" s="205">
        <f>ORÇAMENTO!G62</f>
        <v>669663.44736200001</v>
      </c>
      <c r="E25" s="218"/>
      <c r="F25" s="211"/>
      <c r="G25" s="211">
        <f>$D25*G27</f>
        <v>267865.3789448</v>
      </c>
      <c r="H25" s="211">
        <f>$D25*H27</f>
        <v>267865.3789448</v>
      </c>
      <c r="I25" s="211">
        <f>$D25*I27</f>
        <v>133932.6894724</v>
      </c>
      <c r="J25" s="210"/>
      <c r="K25" s="246"/>
      <c r="L25" s="207">
        <f>SUM(E25:K25)</f>
        <v>669663.44736200001</v>
      </c>
    </row>
    <row r="26" spans="2:12" ht="9" customHeight="1" x14ac:dyDescent="0.2">
      <c r="B26" s="311"/>
      <c r="C26" s="314"/>
      <c r="D26" s="206"/>
      <c r="E26" s="216"/>
      <c r="F26" s="216"/>
      <c r="G26" s="215"/>
      <c r="H26" s="215"/>
      <c r="I26" s="255"/>
      <c r="J26" s="252"/>
      <c r="K26" s="220"/>
      <c r="L26" s="206"/>
    </row>
    <row r="27" spans="2:12" s="221" customFormat="1" ht="24" customHeight="1" thickBot="1" x14ac:dyDescent="0.25">
      <c r="B27" s="312"/>
      <c r="C27" s="315"/>
      <c r="D27" s="222">
        <f>D25/$D$34</f>
        <v>8.4876252579677833E-2</v>
      </c>
      <c r="E27" s="223"/>
      <c r="F27" s="248"/>
      <c r="G27" s="248">
        <v>0.4</v>
      </c>
      <c r="H27" s="248">
        <v>0.4</v>
      </c>
      <c r="I27" s="248">
        <v>0.2</v>
      </c>
      <c r="J27" s="254"/>
      <c r="K27" s="249"/>
      <c r="L27" s="222">
        <f>SUM(E27:K27)</f>
        <v>1</v>
      </c>
    </row>
    <row r="28" spans="2:12" ht="25.9" customHeight="1" thickTop="1" x14ac:dyDescent="0.2">
      <c r="B28" s="310" t="s">
        <v>382</v>
      </c>
      <c r="C28" s="313">
        <f>D28/$D$34</f>
        <v>0.46546869075542963</v>
      </c>
      <c r="D28" s="205">
        <f>ORÇAMENTO!G65</f>
        <v>3672492.1119454643</v>
      </c>
      <c r="E28" s="218"/>
      <c r="F28" s="211"/>
      <c r="G28" s="211"/>
      <c r="H28" s="211">
        <f>$D28*H30</f>
        <v>440699.0534334557</v>
      </c>
      <c r="I28" s="211">
        <f>$D$28*I30</f>
        <v>734498.42238909286</v>
      </c>
      <c r="J28" s="211">
        <f>$D$28*J30</f>
        <v>1248647.3180614579</v>
      </c>
      <c r="K28" s="211">
        <f>$D$28*K30</f>
        <v>1248647.3180614579</v>
      </c>
      <c r="L28" s="207">
        <f>SUM(E28:K28)</f>
        <v>3672492.1119454643</v>
      </c>
    </row>
    <row r="29" spans="2:12" ht="9" customHeight="1" x14ac:dyDescent="0.2">
      <c r="B29" s="311"/>
      <c r="C29" s="314"/>
      <c r="D29" s="206"/>
      <c r="E29" s="216"/>
      <c r="F29" s="216"/>
      <c r="G29" s="216"/>
      <c r="H29" s="255"/>
      <c r="I29" s="255"/>
      <c r="J29" s="255"/>
      <c r="K29" s="251"/>
      <c r="L29" s="206"/>
    </row>
    <row r="30" spans="2:12" s="221" customFormat="1" ht="24" customHeight="1" thickBot="1" x14ac:dyDescent="0.25">
      <c r="B30" s="312"/>
      <c r="C30" s="315"/>
      <c r="D30" s="222">
        <f>D28/$D$34</f>
        <v>0.46546869075542963</v>
      </c>
      <c r="E30" s="223"/>
      <c r="F30" s="248"/>
      <c r="G30" s="248"/>
      <c r="H30" s="248">
        <v>0.12</v>
      </c>
      <c r="I30" s="248">
        <v>0.2</v>
      </c>
      <c r="J30" s="248">
        <v>0.34</v>
      </c>
      <c r="K30" s="249">
        <v>0.34</v>
      </c>
      <c r="L30" s="222">
        <f>SUM(E30:K30)</f>
        <v>1</v>
      </c>
    </row>
    <row r="31" spans="2:12" ht="25.9" customHeight="1" thickTop="1" x14ac:dyDescent="0.2">
      <c r="B31" s="310" t="s">
        <v>67</v>
      </c>
      <c r="C31" s="313">
        <f>D31/$D$34</f>
        <v>1.0036924661004443E-2</v>
      </c>
      <c r="D31" s="205">
        <f>ORÇAMENTO!G72</f>
        <v>79190.131104000029</v>
      </c>
      <c r="E31" s="218"/>
      <c r="F31" s="211"/>
      <c r="G31" s="211"/>
      <c r="H31" s="211"/>
      <c r="I31" s="210"/>
      <c r="J31" s="211">
        <f>$D$31/2</f>
        <v>39595.065552000015</v>
      </c>
      <c r="K31" s="246">
        <f>J31</f>
        <v>39595.065552000015</v>
      </c>
      <c r="L31" s="207">
        <f>SUM(E31:K31)</f>
        <v>79190.131104000029</v>
      </c>
    </row>
    <row r="32" spans="2:12" ht="9" customHeight="1" x14ac:dyDescent="0.2">
      <c r="B32" s="311"/>
      <c r="C32" s="314"/>
      <c r="D32" s="206"/>
      <c r="E32" s="216"/>
      <c r="F32" s="216"/>
      <c r="G32" s="216"/>
      <c r="H32" s="216"/>
      <c r="I32" s="216"/>
      <c r="J32" s="215"/>
      <c r="K32" s="251"/>
      <c r="L32" s="206"/>
    </row>
    <row r="33" spans="2:12" s="221" customFormat="1" ht="24" customHeight="1" thickBot="1" x14ac:dyDescent="0.25">
      <c r="B33" s="321"/>
      <c r="C33" s="322"/>
      <c r="D33" s="272">
        <f>D31/$D$34</f>
        <v>1.0036924661004443E-2</v>
      </c>
      <c r="E33" s="273"/>
      <c r="F33" s="274"/>
      <c r="G33" s="274"/>
      <c r="H33" s="274"/>
      <c r="I33" s="275"/>
      <c r="J33" s="274">
        <f>J31/$L31</f>
        <v>0.5</v>
      </c>
      <c r="K33" s="276">
        <f>K31/$L31</f>
        <v>0.5</v>
      </c>
      <c r="L33" s="272">
        <f>SUM(E33:K33)</f>
        <v>1</v>
      </c>
    </row>
    <row r="34" spans="2:12" s="125" customFormat="1" ht="24.6" customHeight="1" thickTop="1" x14ac:dyDescent="0.25">
      <c r="B34" s="124" t="s">
        <v>5</v>
      </c>
      <c r="C34" s="208">
        <f t="shared" ref="C34:L34" si="2">C31+C28+C25+C22+C19+C16+C13+C10+C7</f>
        <v>1</v>
      </c>
      <c r="D34" s="266">
        <f t="shared" si="2"/>
        <v>7889879.99597828</v>
      </c>
      <c r="E34" s="268">
        <f t="shared" si="2"/>
        <v>1038448.7271793599</v>
      </c>
      <c r="F34" s="209">
        <f t="shared" si="2"/>
        <v>1003638.6713586742</v>
      </c>
      <c r="G34" s="209">
        <f t="shared" si="2"/>
        <v>1016344.9673096075</v>
      </c>
      <c r="H34" s="209">
        <f>H31+H28+H25+H22+H19+H16+H13+H10+H7</f>
        <v>1047548.0917102434</v>
      </c>
      <c r="I34" s="209">
        <f t="shared" ref="I34:J34" si="3">I31+I28+I25+I22+I19+I16+I13+I10+I7</f>
        <v>1207414.7711934806</v>
      </c>
      <c r="J34" s="209">
        <f t="shared" si="3"/>
        <v>1288242.3836134579</v>
      </c>
      <c r="K34" s="269">
        <f t="shared" si="2"/>
        <v>1288242.3836134579</v>
      </c>
      <c r="L34" s="267">
        <f t="shared" si="2"/>
        <v>7889879.99597828</v>
      </c>
    </row>
    <row r="35" spans="2:12" s="125" customFormat="1" ht="24.6" customHeight="1" thickBot="1" x14ac:dyDescent="0.3">
      <c r="B35" s="303" t="s">
        <v>383</v>
      </c>
      <c r="C35" s="304"/>
      <c r="D35" s="305"/>
      <c r="E35" s="280">
        <f t="shared" ref="E35:K35" si="4">E34+D35</f>
        <v>1038448.7271793599</v>
      </c>
      <c r="F35" s="281">
        <f t="shared" si="4"/>
        <v>2042087.3985380339</v>
      </c>
      <c r="G35" s="281">
        <f t="shared" si="4"/>
        <v>3058432.3658476416</v>
      </c>
      <c r="H35" s="281">
        <f t="shared" si="4"/>
        <v>4105980.457557885</v>
      </c>
      <c r="I35" s="281">
        <f t="shared" si="4"/>
        <v>5313395.2287513651</v>
      </c>
      <c r="J35" s="281">
        <f t="shared" si="4"/>
        <v>6601637.612364823</v>
      </c>
      <c r="K35" s="282">
        <f t="shared" si="4"/>
        <v>7889879.9959782809</v>
      </c>
      <c r="L35" s="283">
        <f>L34/K35</f>
        <v>0.99999999999999989</v>
      </c>
    </row>
    <row r="36" spans="2:12" s="125" customFormat="1" ht="24.6" customHeight="1" thickTop="1" x14ac:dyDescent="0.25">
      <c r="B36" s="306" t="s">
        <v>384</v>
      </c>
      <c r="C36" s="307"/>
      <c r="D36" s="308"/>
      <c r="E36" s="277">
        <f>E34/$D$34</f>
        <v>0.13161781011988646</v>
      </c>
      <c r="F36" s="278">
        <f t="shared" ref="F36:K36" si="5">F34/$D$34</f>
        <v>0.12720582212533782</v>
      </c>
      <c r="G36" s="278">
        <f t="shared" si="5"/>
        <v>0.12881627703180157</v>
      </c>
      <c r="H36" s="278">
        <f t="shared" si="5"/>
        <v>0.13277110580188944</v>
      </c>
      <c r="I36" s="278">
        <f t="shared" ref="I36:J36" si="6">I34/$D$34</f>
        <v>0.15303335054638828</v>
      </c>
      <c r="J36" s="278">
        <f t="shared" si="6"/>
        <v>0.1632778171873483</v>
      </c>
      <c r="K36" s="279">
        <f t="shared" si="5"/>
        <v>0.1632778171873483</v>
      </c>
      <c r="L36" s="316"/>
    </row>
    <row r="37" spans="2:12" s="125" customFormat="1" ht="24.6" customHeight="1" thickBot="1" x14ac:dyDescent="0.3">
      <c r="B37" s="318" t="s">
        <v>385</v>
      </c>
      <c r="C37" s="319"/>
      <c r="D37" s="320"/>
      <c r="E37" s="270">
        <f>E36</f>
        <v>0.13161781011988646</v>
      </c>
      <c r="F37" s="126">
        <f t="shared" ref="F37:K37" si="7">F36+E37</f>
        <v>0.25882363224522431</v>
      </c>
      <c r="G37" s="126">
        <f t="shared" si="7"/>
        <v>0.38763990927702585</v>
      </c>
      <c r="H37" s="126">
        <f t="shared" si="7"/>
        <v>0.5204110150789153</v>
      </c>
      <c r="I37" s="126">
        <f t="shared" si="7"/>
        <v>0.67344436562530352</v>
      </c>
      <c r="J37" s="126">
        <f t="shared" si="7"/>
        <v>0.83672218281265187</v>
      </c>
      <c r="K37" s="271">
        <f t="shared" si="7"/>
        <v>1.0000000000000002</v>
      </c>
      <c r="L37" s="317"/>
    </row>
    <row r="38" spans="2:12" ht="15" thickTop="1" x14ac:dyDescent="0.2"/>
  </sheetData>
  <mergeCells count="23">
    <mergeCell ref="B37:D37"/>
    <mergeCell ref="B25:B27"/>
    <mergeCell ref="C25:C27"/>
    <mergeCell ref="B28:B30"/>
    <mergeCell ref="C28:C30"/>
    <mergeCell ref="B31:B33"/>
    <mergeCell ref="C31:C33"/>
    <mergeCell ref="B35:D35"/>
    <mergeCell ref="B36:D36"/>
    <mergeCell ref="B3:L3"/>
    <mergeCell ref="B13:B15"/>
    <mergeCell ref="C13:C15"/>
    <mergeCell ref="B16:B18"/>
    <mergeCell ref="C16:C18"/>
    <mergeCell ref="L36:L37"/>
    <mergeCell ref="B7:B9"/>
    <mergeCell ref="C7:C9"/>
    <mergeCell ref="B10:B12"/>
    <mergeCell ref="C10:C12"/>
    <mergeCell ref="B19:B21"/>
    <mergeCell ref="C19:C21"/>
    <mergeCell ref="B22:B24"/>
    <mergeCell ref="C22:C24"/>
  </mergeCells>
  <phoneticPr fontId="17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  <headerFooter>
    <oddHeader>&amp;R&amp;G</oddHeader>
    <oddFooter>&amp;CAv. João Olímpio de Oliveira, nº 13 – Vila Asem – Itapetininga/SP.
F.: +55 015 99625-5365
comercial@af2engenhariaeservicos.com.br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489B2-CA51-4C90-9EF9-165DCF8AE377}">
  <sheetPr>
    <pageSetUpPr fitToPage="1"/>
  </sheetPr>
  <dimension ref="A3:V159"/>
  <sheetViews>
    <sheetView showGridLines="0" topLeftCell="A91" zoomScaleNormal="100" zoomScaleSheetLayoutView="85" workbookViewId="0">
      <selection activeCell="D17" sqref="D17"/>
    </sheetView>
  </sheetViews>
  <sheetFormatPr defaultColWidth="9.140625" defaultRowHeight="12.75" x14ac:dyDescent="0.25"/>
  <cols>
    <col min="1" max="1" width="6.140625" style="80" customWidth="1"/>
    <col min="2" max="2" width="43" style="81" customWidth="1"/>
    <col min="3" max="3" width="6.28515625" style="82" customWidth="1"/>
    <col min="4" max="4" width="10.28515625" style="82" customWidth="1"/>
    <col min="5" max="5" width="13.5703125" style="82" customWidth="1"/>
    <col min="6" max="6" width="14.85546875" style="82" customWidth="1"/>
    <col min="7" max="7" width="11.85546875" style="82" customWidth="1"/>
    <col min="8" max="8" width="14.7109375" style="82" customWidth="1"/>
    <col min="9" max="9" width="11.42578125" style="82" bestFit="1" customWidth="1"/>
    <col min="10" max="10" width="9.28515625" style="82" bestFit="1" customWidth="1"/>
    <col min="11" max="11" width="10.28515625" style="82" bestFit="1" customWidth="1"/>
    <col min="12" max="12" width="9.7109375" style="82" bestFit="1" customWidth="1"/>
    <col min="13" max="13" width="10.85546875" style="82" customWidth="1"/>
    <col min="14" max="14" width="14.7109375" style="82" customWidth="1"/>
    <col min="15" max="15" width="9.140625" style="82"/>
    <col min="16" max="19" width="10.28515625" style="82" bestFit="1" customWidth="1"/>
    <col min="20" max="20" width="10.28515625" style="82" customWidth="1"/>
    <col min="21" max="256" width="9.140625" style="82"/>
    <col min="257" max="257" width="6.140625" style="82" customWidth="1"/>
    <col min="258" max="258" width="39.42578125" style="82" customWidth="1"/>
    <col min="259" max="259" width="6.28515625" style="82" customWidth="1"/>
    <col min="260" max="260" width="10.28515625" style="82" customWidth="1"/>
    <col min="261" max="261" width="10.42578125" style="82" customWidth="1"/>
    <col min="262" max="262" width="14.85546875" style="82" customWidth="1"/>
    <col min="263" max="263" width="11.85546875" style="82" customWidth="1"/>
    <col min="264" max="264" width="14.7109375" style="82" customWidth="1"/>
    <col min="265" max="265" width="11.42578125" style="82" bestFit="1" customWidth="1"/>
    <col min="266" max="266" width="9.28515625" style="82" bestFit="1" customWidth="1"/>
    <col min="267" max="267" width="10.28515625" style="82" bestFit="1" customWidth="1"/>
    <col min="268" max="268" width="9.28515625" style="82" bestFit="1" customWidth="1"/>
    <col min="269" max="269" width="10.85546875" style="82" customWidth="1"/>
    <col min="270" max="270" width="14.7109375" style="82" customWidth="1"/>
    <col min="271" max="271" width="9.140625" style="82"/>
    <col min="272" max="275" width="10.28515625" style="82" bestFit="1" customWidth="1"/>
    <col min="276" max="276" width="10.28515625" style="82" customWidth="1"/>
    <col min="277" max="512" width="9.140625" style="82"/>
    <col min="513" max="513" width="6.140625" style="82" customWidth="1"/>
    <col min="514" max="514" width="39.42578125" style="82" customWidth="1"/>
    <col min="515" max="515" width="6.28515625" style="82" customWidth="1"/>
    <col min="516" max="516" width="10.28515625" style="82" customWidth="1"/>
    <col min="517" max="517" width="10.42578125" style="82" customWidth="1"/>
    <col min="518" max="518" width="14.85546875" style="82" customWidth="1"/>
    <col min="519" max="519" width="11.85546875" style="82" customWidth="1"/>
    <col min="520" max="520" width="14.7109375" style="82" customWidth="1"/>
    <col min="521" max="521" width="11.42578125" style="82" bestFit="1" customWidth="1"/>
    <col min="522" max="522" width="9.28515625" style="82" bestFit="1" customWidth="1"/>
    <col min="523" max="523" width="10.28515625" style="82" bestFit="1" customWidth="1"/>
    <col min="524" max="524" width="9.28515625" style="82" bestFit="1" customWidth="1"/>
    <col min="525" max="525" width="10.85546875" style="82" customWidth="1"/>
    <col min="526" max="526" width="14.7109375" style="82" customWidth="1"/>
    <col min="527" max="527" width="9.140625" style="82"/>
    <col min="528" max="531" width="10.28515625" style="82" bestFit="1" customWidth="1"/>
    <col min="532" max="532" width="10.28515625" style="82" customWidth="1"/>
    <col min="533" max="768" width="9.140625" style="82"/>
    <col min="769" max="769" width="6.140625" style="82" customWidth="1"/>
    <col min="770" max="770" width="39.42578125" style="82" customWidth="1"/>
    <col min="771" max="771" width="6.28515625" style="82" customWidth="1"/>
    <col min="772" max="772" width="10.28515625" style="82" customWidth="1"/>
    <col min="773" max="773" width="10.42578125" style="82" customWidth="1"/>
    <col min="774" max="774" width="14.85546875" style="82" customWidth="1"/>
    <col min="775" max="775" width="11.85546875" style="82" customWidth="1"/>
    <col min="776" max="776" width="14.7109375" style="82" customWidth="1"/>
    <col min="777" max="777" width="11.42578125" style="82" bestFit="1" customWidth="1"/>
    <col min="778" max="778" width="9.28515625" style="82" bestFit="1" customWidth="1"/>
    <col min="779" max="779" width="10.28515625" style="82" bestFit="1" customWidth="1"/>
    <col min="780" max="780" width="9.28515625" style="82" bestFit="1" customWidth="1"/>
    <col min="781" max="781" width="10.85546875" style="82" customWidth="1"/>
    <col min="782" max="782" width="14.7109375" style="82" customWidth="1"/>
    <col min="783" max="783" width="9.140625" style="82"/>
    <col min="784" max="787" width="10.28515625" style="82" bestFit="1" customWidth="1"/>
    <col min="788" max="788" width="10.28515625" style="82" customWidth="1"/>
    <col min="789" max="1024" width="9.140625" style="82"/>
    <col min="1025" max="1025" width="6.140625" style="82" customWidth="1"/>
    <col min="1026" max="1026" width="39.42578125" style="82" customWidth="1"/>
    <col min="1027" max="1027" width="6.28515625" style="82" customWidth="1"/>
    <col min="1028" max="1028" width="10.28515625" style="82" customWidth="1"/>
    <col min="1029" max="1029" width="10.42578125" style="82" customWidth="1"/>
    <col min="1030" max="1030" width="14.85546875" style="82" customWidth="1"/>
    <col min="1031" max="1031" width="11.85546875" style="82" customWidth="1"/>
    <col min="1032" max="1032" width="14.7109375" style="82" customWidth="1"/>
    <col min="1033" max="1033" width="11.42578125" style="82" bestFit="1" customWidth="1"/>
    <col min="1034" max="1034" width="9.28515625" style="82" bestFit="1" customWidth="1"/>
    <col min="1035" max="1035" width="10.28515625" style="82" bestFit="1" customWidth="1"/>
    <col min="1036" max="1036" width="9.28515625" style="82" bestFit="1" customWidth="1"/>
    <col min="1037" max="1037" width="10.85546875" style="82" customWidth="1"/>
    <col min="1038" max="1038" width="14.7109375" style="82" customWidth="1"/>
    <col min="1039" max="1039" width="9.140625" style="82"/>
    <col min="1040" max="1043" width="10.28515625" style="82" bestFit="1" customWidth="1"/>
    <col min="1044" max="1044" width="10.28515625" style="82" customWidth="1"/>
    <col min="1045" max="1280" width="9.140625" style="82"/>
    <col min="1281" max="1281" width="6.140625" style="82" customWidth="1"/>
    <col min="1282" max="1282" width="39.42578125" style="82" customWidth="1"/>
    <col min="1283" max="1283" width="6.28515625" style="82" customWidth="1"/>
    <col min="1284" max="1284" width="10.28515625" style="82" customWidth="1"/>
    <col min="1285" max="1285" width="10.42578125" style="82" customWidth="1"/>
    <col min="1286" max="1286" width="14.85546875" style="82" customWidth="1"/>
    <col min="1287" max="1287" width="11.85546875" style="82" customWidth="1"/>
    <col min="1288" max="1288" width="14.7109375" style="82" customWidth="1"/>
    <col min="1289" max="1289" width="11.42578125" style="82" bestFit="1" customWidth="1"/>
    <col min="1290" max="1290" width="9.28515625" style="82" bestFit="1" customWidth="1"/>
    <col min="1291" max="1291" width="10.28515625" style="82" bestFit="1" customWidth="1"/>
    <col min="1292" max="1292" width="9.28515625" style="82" bestFit="1" customWidth="1"/>
    <col min="1293" max="1293" width="10.85546875" style="82" customWidth="1"/>
    <col min="1294" max="1294" width="14.7109375" style="82" customWidth="1"/>
    <col min="1295" max="1295" width="9.140625" style="82"/>
    <col min="1296" max="1299" width="10.28515625" style="82" bestFit="1" customWidth="1"/>
    <col min="1300" max="1300" width="10.28515625" style="82" customWidth="1"/>
    <col min="1301" max="1536" width="9.140625" style="82"/>
    <col min="1537" max="1537" width="6.140625" style="82" customWidth="1"/>
    <col min="1538" max="1538" width="39.42578125" style="82" customWidth="1"/>
    <col min="1539" max="1539" width="6.28515625" style="82" customWidth="1"/>
    <col min="1540" max="1540" width="10.28515625" style="82" customWidth="1"/>
    <col min="1541" max="1541" width="10.42578125" style="82" customWidth="1"/>
    <col min="1542" max="1542" width="14.85546875" style="82" customWidth="1"/>
    <col min="1543" max="1543" width="11.85546875" style="82" customWidth="1"/>
    <col min="1544" max="1544" width="14.7109375" style="82" customWidth="1"/>
    <col min="1545" max="1545" width="11.42578125" style="82" bestFit="1" customWidth="1"/>
    <col min="1546" max="1546" width="9.28515625" style="82" bestFit="1" customWidth="1"/>
    <col min="1547" max="1547" width="10.28515625" style="82" bestFit="1" customWidth="1"/>
    <col min="1548" max="1548" width="9.28515625" style="82" bestFit="1" customWidth="1"/>
    <col min="1549" max="1549" width="10.85546875" style="82" customWidth="1"/>
    <col min="1550" max="1550" width="14.7109375" style="82" customWidth="1"/>
    <col min="1551" max="1551" width="9.140625" style="82"/>
    <col min="1552" max="1555" width="10.28515625" style="82" bestFit="1" customWidth="1"/>
    <col min="1556" max="1556" width="10.28515625" style="82" customWidth="1"/>
    <col min="1557" max="1792" width="9.140625" style="82"/>
    <col min="1793" max="1793" width="6.140625" style="82" customWidth="1"/>
    <col min="1794" max="1794" width="39.42578125" style="82" customWidth="1"/>
    <col min="1795" max="1795" width="6.28515625" style="82" customWidth="1"/>
    <col min="1796" max="1796" width="10.28515625" style="82" customWidth="1"/>
    <col min="1797" max="1797" width="10.42578125" style="82" customWidth="1"/>
    <col min="1798" max="1798" width="14.85546875" style="82" customWidth="1"/>
    <col min="1799" max="1799" width="11.85546875" style="82" customWidth="1"/>
    <col min="1800" max="1800" width="14.7109375" style="82" customWidth="1"/>
    <col min="1801" max="1801" width="11.42578125" style="82" bestFit="1" customWidth="1"/>
    <col min="1802" max="1802" width="9.28515625" style="82" bestFit="1" customWidth="1"/>
    <col min="1803" max="1803" width="10.28515625" style="82" bestFit="1" customWidth="1"/>
    <col min="1804" max="1804" width="9.28515625" style="82" bestFit="1" customWidth="1"/>
    <col min="1805" max="1805" width="10.85546875" style="82" customWidth="1"/>
    <col min="1806" max="1806" width="14.7109375" style="82" customWidth="1"/>
    <col min="1807" max="1807" width="9.140625" style="82"/>
    <col min="1808" max="1811" width="10.28515625" style="82" bestFit="1" customWidth="1"/>
    <col min="1812" max="1812" width="10.28515625" style="82" customWidth="1"/>
    <col min="1813" max="2048" width="9.140625" style="82"/>
    <col min="2049" max="2049" width="6.140625" style="82" customWidth="1"/>
    <col min="2050" max="2050" width="39.42578125" style="82" customWidth="1"/>
    <col min="2051" max="2051" width="6.28515625" style="82" customWidth="1"/>
    <col min="2052" max="2052" width="10.28515625" style="82" customWidth="1"/>
    <col min="2053" max="2053" width="10.42578125" style="82" customWidth="1"/>
    <col min="2054" max="2054" width="14.85546875" style="82" customWidth="1"/>
    <col min="2055" max="2055" width="11.85546875" style="82" customWidth="1"/>
    <col min="2056" max="2056" width="14.7109375" style="82" customWidth="1"/>
    <col min="2057" max="2057" width="11.42578125" style="82" bestFit="1" customWidth="1"/>
    <col min="2058" max="2058" width="9.28515625" style="82" bestFit="1" customWidth="1"/>
    <col min="2059" max="2059" width="10.28515625" style="82" bestFit="1" customWidth="1"/>
    <col min="2060" max="2060" width="9.28515625" style="82" bestFit="1" customWidth="1"/>
    <col min="2061" max="2061" width="10.85546875" style="82" customWidth="1"/>
    <col min="2062" max="2062" width="14.7109375" style="82" customWidth="1"/>
    <col min="2063" max="2063" width="9.140625" style="82"/>
    <col min="2064" max="2067" width="10.28515625" style="82" bestFit="1" customWidth="1"/>
    <col min="2068" max="2068" width="10.28515625" style="82" customWidth="1"/>
    <col min="2069" max="2304" width="9.140625" style="82"/>
    <col min="2305" max="2305" width="6.140625" style="82" customWidth="1"/>
    <col min="2306" max="2306" width="39.42578125" style="82" customWidth="1"/>
    <col min="2307" max="2307" width="6.28515625" style="82" customWidth="1"/>
    <col min="2308" max="2308" width="10.28515625" style="82" customWidth="1"/>
    <col min="2309" max="2309" width="10.42578125" style="82" customWidth="1"/>
    <col min="2310" max="2310" width="14.85546875" style="82" customWidth="1"/>
    <col min="2311" max="2311" width="11.85546875" style="82" customWidth="1"/>
    <col min="2312" max="2312" width="14.7109375" style="82" customWidth="1"/>
    <col min="2313" max="2313" width="11.42578125" style="82" bestFit="1" customWidth="1"/>
    <col min="2314" max="2314" width="9.28515625" style="82" bestFit="1" customWidth="1"/>
    <col min="2315" max="2315" width="10.28515625" style="82" bestFit="1" customWidth="1"/>
    <col min="2316" max="2316" width="9.28515625" style="82" bestFit="1" customWidth="1"/>
    <col min="2317" max="2317" width="10.85546875" style="82" customWidth="1"/>
    <col min="2318" max="2318" width="14.7109375" style="82" customWidth="1"/>
    <col min="2319" max="2319" width="9.140625" style="82"/>
    <col min="2320" max="2323" width="10.28515625" style="82" bestFit="1" customWidth="1"/>
    <col min="2324" max="2324" width="10.28515625" style="82" customWidth="1"/>
    <col min="2325" max="2560" width="9.140625" style="82"/>
    <col min="2561" max="2561" width="6.140625" style="82" customWidth="1"/>
    <col min="2562" max="2562" width="39.42578125" style="82" customWidth="1"/>
    <col min="2563" max="2563" width="6.28515625" style="82" customWidth="1"/>
    <col min="2564" max="2564" width="10.28515625" style="82" customWidth="1"/>
    <col min="2565" max="2565" width="10.42578125" style="82" customWidth="1"/>
    <col min="2566" max="2566" width="14.85546875" style="82" customWidth="1"/>
    <col min="2567" max="2567" width="11.85546875" style="82" customWidth="1"/>
    <col min="2568" max="2568" width="14.7109375" style="82" customWidth="1"/>
    <col min="2569" max="2569" width="11.42578125" style="82" bestFit="1" customWidth="1"/>
    <col min="2570" max="2570" width="9.28515625" style="82" bestFit="1" customWidth="1"/>
    <col min="2571" max="2571" width="10.28515625" style="82" bestFit="1" customWidth="1"/>
    <col min="2572" max="2572" width="9.28515625" style="82" bestFit="1" customWidth="1"/>
    <col min="2573" max="2573" width="10.85546875" style="82" customWidth="1"/>
    <col min="2574" max="2574" width="14.7109375" style="82" customWidth="1"/>
    <col min="2575" max="2575" width="9.140625" style="82"/>
    <col min="2576" max="2579" width="10.28515625" style="82" bestFit="1" customWidth="1"/>
    <col min="2580" max="2580" width="10.28515625" style="82" customWidth="1"/>
    <col min="2581" max="2816" width="9.140625" style="82"/>
    <col min="2817" max="2817" width="6.140625" style="82" customWidth="1"/>
    <col min="2818" max="2818" width="39.42578125" style="82" customWidth="1"/>
    <col min="2819" max="2819" width="6.28515625" style="82" customWidth="1"/>
    <col min="2820" max="2820" width="10.28515625" style="82" customWidth="1"/>
    <col min="2821" max="2821" width="10.42578125" style="82" customWidth="1"/>
    <col min="2822" max="2822" width="14.85546875" style="82" customWidth="1"/>
    <col min="2823" max="2823" width="11.85546875" style="82" customWidth="1"/>
    <col min="2824" max="2824" width="14.7109375" style="82" customWidth="1"/>
    <col min="2825" max="2825" width="11.42578125" style="82" bestFit="1" customWidth="1"/>
    <col min="2826" max="2826" width="9.28515625" style="82" bestFit="1" customWidth="1"/>
    <col min="2827" max="2827" width="10.28515625" style="82" bestFit="1" customWidth="1"/>
    <col min="2828" max="2828" width="9.28515625" style="82" bestFit="1" customWidth="1"/>
    <col min="2829" max="2829" width="10.85546875" style="82" customWidth="1"/>
    <col min="2830" max="2830" width="14.7109375" style="82" customWidth="1"/>
    <col min="2831" max="2831" width="9.140625" style="82"/>
    <col min="2832" max="2835" width="10.28515625" style="82" bestFit="1" customWidth="1"/>
    <col min="2836" max="2836" width="10.28515625" style="82" customWidth="1"/>
    <col min="2837" max="3072" width="9.140625" style="82"/>
    <col min="3073" max="3073" width="6.140625" style="82" customWidth="1"/>
    <col min="3074" max="3074" width="39.42578125" style="82" customWidth="1"/>
    <col min="3075" max="3075" width="6.28515625" style="82" customWidth="1"/>
    <col min="3076" max="3076" width="10.28515625" style="82" customWidth="1"/>
    <col min="3077" max="3077" width="10.42578125" style="82" customWidth="1"/>
    <col min="3078" max="3078" width="14.85546875" style="82" customWidth="1"/>
    <col min="3079" max="3079" width="11.85546875" style="82" customWidth="1"/>
    <col min="3080" max="3080" width="14.7109375" style="82" customWidth="1"/>
    <col min="3081" max="3081" width="11.42578125" style="82" bestFit="1" customWidth="1"/>
    <col min="3082" max="3082" width="9.28515625" style="82" bestFit="1" customWidth="1"/>
    <col min="3083" max="3083" width="10.28515625" style="82" bestFit="1" customWidth="1"/>
    <col min="3084" max="3084" width="9.28515625" style="82" bestFit="1" customWidth="1"/>
    <col min="3085" max="3085" width="10.85546875" style="82" customWidth="1"/>
    <col min="3086" max="3086" width="14.7109375" style="82" customWidth="1"/>
    <col min="3087" max="3087" width="9.140625" style="82"/>
    <col min="3088" max="3091" width="10.28515625" style="82" bestFit="1" customWidth="1"/>
    <col min="3092" max="3092" width="10.28515625" style="82" customWidth="1"/>
    <col min="3093" max="3328" width="9.140625" style="82"/>
    <col min="3329" max="3329" width="6.140625" style="82" customWidth="1"/>
    <col min="3330" max="3330" width="39.42578125" style="82" customWidth="1"/>
    <col min="3331" max="3331" width="6.28515625" style="82" customWidth="1"/>
    <col min="3332" max="3332" width="10.28515625" style="82" customWidth="1"/>
    <col min="3333" max="3333" width="10.42578125" style="82" customWidth="1"/>
    <col min="3334" max="3334" width="14.85546875" style="82" customWidth="1"/>
    <col min="3335" max="3335" width="11.85546875" style="82" customWidth="1"/>
    <col min="3336" max="3336" width="14.7109375" style="82" customWidth="1"/>
    <col min="3337" max="3337" width="11.42578125" style="82" bestFit="1" customWidth="1"/>
    <col min="3338" max="3338" width="9.28515625" style="82" bestFit="1" customWidth="1"/>
    <col min="3339" max="3339" width="10.28515625" style="82" bestFit="1" customWidth="1"/>
    <col min="3340" max="3340" width="9.28515625" style="82" bestFit="1" customWidth="1"/>
    <col min="3341" max="3341" width="10.85546875" style="82" customWidth="1"/>
    <col min="3342" max="3342" width="14.7109375" style="82" customWidth="1"/>
    <col min="3343" max="3343" width="9.140625" style="82"/>
    <col min="3344" max="3347" width="10.28515625" style="82" bestFit="1" customWidth="1"/>
    <col min="3348" max="3348" width="10.28515625" style="82" customWidth="1"/>
    <col min="3349" max="3584" width="9.140625" style="82"/>
    <col min="3585" max="3585" width="6.140625" style="82" customWidth="1"/>
    <col min="3586" max="3586" width="39.42578125" style="82" customWidth="1"/>
    <col min="3587" max="3587" width="6.28515625" style="82" customWidth="1"/>
    <col min="3588" max="3588" width="10.28515625" style="82" customWidth="1"/>
    <col min="3589" max="3589" width="10.42578125" style="82" customWidth="1"/>
    <col min="3590" max="3590" width="14.85546875" style="82" customWidth="1"/>
    <col min="3591" max="3591" width="11.85546875" style="82" customWidth="1"/>
    <col min="3592" max="3592" width="14.7109375" style="82" customWidth="1"/>
    <col min="3593" max="3593" width="11.42578125" style="82" bestFit="1" customWidth="1"/>
    <col min="3594" max="3594" width="9.28515625" style="82" bestFit="1" customWidth="1"/>
    <col min="3595" max="3595" width="10.28515625" style="82" bestFit="1" customWidth="1"/>
    <col min="3596" max="3596" width="9.28515625" style="82" bestFit="1" customWidth="1"/>
    <col min="3597" max="3597" width="10.85546875" style="82" customWidth="1"/>
    <col min="3598" max="3598" width="14.7109375" style="82" customWidth="1"/>
    <col min="3599" max="3599" width="9.140625" style="82"/>
    <col min="3600" max="3603" width="10.28515625" style="82" bestFit="1" customWidth="1"/>
    <col min="3604" max="3604" width="10.28515625" style="82" customWidth="1"/>
    <col min="3605" max="3840" width="9.140625" style="82"/>
    <col min="3841" max="3841" width="6.140625" style="82" customWidth="1"/>
    <col min="3842" max="3842" width="39.42578125" style="82" customWidth="1"/>
    <col min="3843" max="3843" width="6.28515625" style="82" customWidth="1"/>
    <col min="3844" max="3844" width="10.28515625" style="82" customWidth="1"/>
    <col min="3845" max="3845" width="10.42578125" style="82" customWidth="1"/>
    <col min="3846" max="3846" width="14.85546875" style="82" customWidth="1"/>
    <col min="3847" max="3847" width="11.85546875" style="82" customWidth="1"/>
    <col min="3848" max="3848" width="14.7109375" style="82" customWidth="1"/>
    <col min="3849" max="3849" width="11.42578125" style="82" bestFit="1" customWidth="1"/>
    <col min="3850" max="3850" width="9.28515625" style="82" bestFit="1" customWidth="1"/>
    <col min="3851" max="3851" width="10.28515625" style="82" bestFit="1" customWidth="1"/>
    <col min="3852" max="3852" width="9.28515625" style="82" bestFit="1" customWidth="1"/>
    <col min="3853" max="3853" width="10.85546875" style="82" customWidth="1"/>
    <col min="3854" max="3854" width="14.7109375" style="82" customWidth="1"/>
    <col min="3855" max="3855" width="9.140625" style="82"/>
    <col min="3856" max="3859" width="10.28515625" style="82" bestFit="1" customWidth="1"/>
    <col min="3860" max="3860" width="10.28515625" style="82" customWidth="1"/>
    <col min="3861" max="4096" width="9.140625" style="82"/>
    <col min="4097" max="4097" width="6.140625" style="82" customWidth="1"/>
    <col min="4098" max="4098" width="39.42578125" style="82" customWidth="1"/>
    <col min="4099" max="4099" width="6.28515625" style="82" customWidth="1"/>
    <col min="4100" max="4100" width="10.28515625" style="82" customWidth="1"/>
    <col min="4101" max="4101" width="10.42578125" style="82" customWidth="1"/>
    <col min="4102" max="4102" width="14.85546875" style="82" customWidth="1"/>
    <col min="4103" max="4103" width="11.85546875" style="82" customWidth="1"/>
    <col min="4104" max="4104" width="14.7109375" style="82" customWidth="1"/>
    <col min="4105" max="4105" width="11.42578125" style="82" bestFit="1" customWidth="1"/>
    <col min="4106" max="4106" width="9.28515625" style="82" bestFit="1" customWidth="1"/>
    <col min="4107" max="4107" width="10.28515625" style="82" bestFit="1" customWidth="1"/>
    <col min="4108" max="4108" width="9.28515625" style="82" bestFit="1" customWidth="1"/>
    <col min="4109" max="4109" width="10.85546875" style="82" customWidth="1"/>
    <col min="4110" max="4110" width="14.7109375" style="82" customWidth="1"/>
    <col min="4111" max="4111" width="9.140625" style="82"/>
    <col min="4112" max="4115" width="10.28515625" style="82" bestFit="1" customWidth="1"/>
    <col min="4116" max="4116" width="10.28515625" style="82" customWidth="1"/>
    <col min="4117" max="4352" width="9.140625" style="82"/>
    <col min="4353" max="4353" width="6.140625" style="82" customWidth="1"/>
    <col min="4354" max="4354" width="39.42578125" style="82" customWidth="1"/>
    <col min="4355" max="4355" width="6.28515625" style="82" customWidth="1"/>
    <col min="4356" max="4356" width="10.28515625" style="82" customWidth="1"/>
    <col min="4357" max="4357" width="10.42578125" style="82" customWidth="1"/>
    <col min="4358" max="4358" width="14.85546875" style="82" customWidth="1"/>
    <col min="4359" max="4359" width="11.85546875" style="82" customWidth="1"/>
    <col min="4360" max="4360" width="14.7109375" style="82" customWidth="1"/>
    <col min="4361" max="4361" width="11.42578125" style="82" bestFit="1" customWidth="1"/>
    <col min="4362" max="4362" width="9.28515625" style="82" bestFit="1" customWidth="1"/>
    <col min="4363" max="4363" width="10.28515625" style="82" bestFit="1" customWidth="1"/>
    <col min="4364" max="4364" width="9.28515625" style="82" bestFit="1" customWidth="1"/>
    <col min="4365" max="4365" width="10.85546875" style="82" customWidth="1"/>
    <col min="4366" max="4366" width="14.7109375" style="82" customWidth="1"/>
    <col min="4367" max="4367" width="9.140625" style="82"/>
    <col min="4368" max="4371" width="10.28515625" style="82" bestFit="1" customWidth="1"/>
    <col min="4372" max="4372" width="10.28515625" style="82" customWidth="1"/>
    <col min="4373" max="4608" width="9.140625" style="82"/>
    <col min="4609" max="4609" width="6.140625" style="82" customWidth="1"/>
    <col min="4610" max="4610" width="39.42578125" style="82" customWidth="1"/>
    <col min="4611" max="4611" width="6.28515625" style="82" customWidth="1"/>
    <col min="4612" max="4612" width="10.28515625" style="82" customWidth="1"/>
    <col min="4613" max="4613" width="10.42578125" style="82" customWidth="1"/>
    <col min="4614" max="4614" width="14.85546875" style="82" customWidth="1"/>
    <col min="4615" max="4615" width="11.85546875" style="82" customWidth="1"/>
    <col min="4616" max="4616" width="14.7109375" style="82" customWidth="1"/>
    <col min="4617" max="4617" width="11.42578125" style="82" bestFit="1" customWidth="1"/>
    <col min="4618" max="4618" width="9.28515625" style="82" bestFit="1" customWidth="1"/>
    <col min="4619" max="4619" width="10.28515625" style="82" bestFit="1" customWidth="1"/>
    <col min="4620" max="4620" width="9.28515625" style="82" bestFit="1" customWidth="1"/>
    <col min="4621" max="4621" width="10.85546875" style="82" customWidth="1"/>
    <col min="4622" max="4622" width="14.7109375" style="82" customWidth="1"/>
    <col min="4623" max="4623" width="9.140625" style="82"/>
    <col min="4624" max="4627" width="10.28515625" style="82" bestFit="1" customWidth="1"/>
    <col min="4628" max="4628" width="10.28515625" style="82" customWidth="1"/>
    <col min="4629" max="4864" width="9.140625" style="82"/>
    <col min="4865" max="4865" width="6.140625" style="82" customWidth="1"/>
    <col min="4866" max="4866" width="39.42578125" style="82" customWidth="1"/>
    <col min="4867" max="4867" width="6.28515625" style="82" customWidth="1"/>
    <col min="4868" max="4868" width="10.28515625" style="82" customWidth="1"/>
    <col min="4869" max="4869" width="10.42578125" style="82" customWidth="1"/>
    <col min="4870" max="4870" width="14.85546875" style="82" customWidth="1"/>
    <col min="4871" max="4871" width="11.85546875" style="82" customWidth="1"/>
    <col min="4872" max="4872" width="14.7109375" style="82" customWidth="1"/>
    <col min="4873" max="4873" width="11.42578125" style="82" bestFit="1" customWidth="1"/>
    <col min="4874" max="4874" width="9.28515625" style="82" bestFit="1" customWidth="1"/>
    <col min="4875" max="4875" width="10.28515625" style="82" bestFit="1" customWidth="1"/>
    <col min="4876" max="4876" width="9.28515625" style="82" bestFit="1" customWidth="1"/>
    <col min="4877" max="4877" width="10.85546875" style="82" customWidth="1"/>
    <col min="4878" max="4878" width="14.7109375" style="82" customWidth="1"/>
    <col min="4879" max="4879" width="9.140625" style="82"/>
    <col min="4880" max="4883" width="10.28515625" style="82" bestFit="1" customWidth="1"/>
    <col min="4884" max="4884" width="10.28515625" style="82" customWidth="1"/>
    <col min="4885" max="5120" width="9.140625" style="82"/>
    <col min="5121" max="5121" width="6.140625" style="82" customWidth="1"/>
    <col min="5122" max="5122" width="39.42578125" style="82" customWidth="1"/>
    <col min="5123" max="5123" width="6.28515625" style="82" customWidth="1"/>
    <col min="5124" max="5124" width="10.28515625" style="82" customWidth="1"/>
    <col min="5125" max="5125" width="10.42578125" style="82" customWidth="1"/>
    <col min="5126" max="5126" width="14.85546875" style="82" customWidth="1"/>
    <col min="5127" max="5127" width="11.85546875" style="82" customWidth="1"/>
    <col min="5128" max="5128" width="14.7109375" style="82" customWidth="1"/>
    <col min="5129" max="5129" width="11.42578125" style="82" bestFit="1" customWidth="1"/>
    <col min="5130" max="5130" width="9.28515625" style="82" bestFit="1" customWidth="1"/>
    <col min="5131" max="5131" width="10.28515625" style="82" bestFit="1" customWidth="1"/>
    <col min="5132" max="5132" width="9.28515625" style="82" bestFit="1" customWidth="1"/>
    <col min="5133" max="5133" width="10.85546875" style="82" customWidth="1"/>
    <col min="5134" max="5134" width="14.7109375" style="82" customWidth="1"/>
    <col min="5135" max="5135" width="9.140625" style="82"/>
    <col min="5136" max="5139" width="10.28515625" style="82" bestFit="1" customWidth="1"/>
    <col min="5140" max="5140" width="10.28515625" style="82" customWidth="1"/>
    <col min="5141" max="5376" width="9.140625" style="82"/>
    <col min="5377" max="5377" width="6.140625" style="82" customWidth="1"/>
    <col min="5378" max="5378" width="39.42578125" style="82" customWidth="1"/>
    <col min="5379" max="5379" width="6.28515625" style="82" customWidth="1"/>
    <col min="5380" max="5380" width="10.28515625" style="82" customWidth="1"/>
    <col min="5381" max="5381" width="10.42578125" style="82" customWidth="1"/>
    <col min="5382" max="5382" width="14.85546875" style="82" customWidth="1"/>
    <col min="5383" max="5383" width="11.85546875" style="82" customWidth="1"/>
    <col min="5384" max="5384" width="14.7109375" style="82" customWidth="1"/>
    <col min="5385" max="5385" width="11.42578125" style="82" bestFit="1" customWidth="1"/>
    <col min="5386" max="5386" width="9.28515625" style="82" bestFit="1" customWidth="1"/>
    <col min="5387" max="5387" width="10.28515625" style="82" bestFit="1" customWidth="1"/>
    <col min="5388" max="5388" width="9.28515625" style="82" bestFit="1" customWidth="1"/>
    <col min="5389" max="5389" width="10.85546875" style="82" customWidth="1"/>
    <col min="5390" max="5390" width="14.7109375" style="82" customWidth="1"/>
    <col min="5391" max="5391" width="9.140625" style="82"/>
    <col min="5392" max="5395" width="10.28515625" style="82" bestFit="1" customWidth="1"/>
    <col min="5396" max="5396" width="10.28515625" style="82" customWidth="1"/>
    <col min="5397" max="5632" width="9.140625" style="82"/>
    <col min="5633" max="5633" width="6.140625" style="82" customWidth="1"/>
    <col min="5634" max="5634" width="39.42578125" style="82" customWidth="1"/>
    <col min="5635" max="5635" width="6.28515625" style="82" customWidth="1"/>
    <col min="5636" max="5636" width="10.28515625" style="82" customWidth="1"/>
    <col min="5637" max="5637" width="10.42578125" style="82" customWidth="1"/>
    <col min="5638" max="5638" width="14.85546875" style="82" customWidth="1"/>
    <col min="5639" max="5639" width="11.85546875" style="82" customWidth="1"/>
    <col min="5640" max="5640" width="14.7109375" style="82" customWidth="1"/>
    <col min="5641" max="5641" width="11.42578125" style="82" bestFit="1" customWidth="1"/>
    <col min="5642" max="5642" width="9.28515625" style="82" bestFit="1" customWidth="1"/>
    <col min="5643" max="5643" width="10.28515625" style="82" bestFit="1" customWidth="1"/>
    <col min="5644" max="5644" width="9.28515625" style="82" bestFit="1" customWidth="1"/>
    <col min="5645" max="5645" width="10.85546875" style="82" customWidth="1"/>
    <col min="5646" max="5646" width="14.7109375" style="82" customWidth="1"/>
    <col min="5647" max="5647" width="9.140625" style="82"/>
    <col min="5648" max="5651" width="10.28515625" style="82" bestFit="1" customWidth="1"/>
    <col min="5652" max="5652" width="10.28515625" style="82" customWidth="1"/>
    <col min="5653" max="5888" width="9.140625" style="82"/>
    <col min="5889" max="5889" width="6.140625" style="82" customWidth="1"/>
    <col min="5890" max="5890" width="39.42578125" style="82" customWidth="1"/>
    <col min="5891" max="5891" width="6.28515625" style="82" customWidth="1"/>
    <col min="5892" max="5892" width="10.28515625" style="82" customWidth="1"/>
    <col min="5893" max="5893" width="10.42578125" style="82" customWidth="1"/>
    <col min="5894" max="5894" width="14.85546875" style="82" customWidth="1"/>
    <col min="5895" max="5895" width="11.85546875" style="82" customWidth="1"/>
    <col min="5896" max="5896" width="14.7109375" style="82" customWidth="1"/>
    <col min="5897" max="5897" width="11.42578125" style="82" bestFit="1" customWidth="1"/>
    <col min="5898" max="5898" width="9.28515625" style="82" bestFit="1" customWidth="1"/>
    <col min="5899" max="5899" width="10.28515625" style="82" bestFit="1" customWidth="1"/>
    <col min="5900" max="5900" width="9.28515625" style="82" bestFit="1" customWidth="1"/>
    <col min="5901" max="5901" width="10.85546875" style="82" customWidth="1"/>
    <col min="5902" max="5902" width="14.7109375" style="82" customWidth="1"/>
    <col min="5903" max="5903" width="9.140625" style="82"/>
    <col min="5904" max="5907" width="10.28515625" style="82" bestFit="1" customWidth="1"/>
    <col min="5908" max="5908" width="10.28515625" style="82" customWidth="1"/>
    <col min="5909" max="6144" width="9.140625" style="82"/>
    <col min="6145" max="6145" width="6.140625" style="82" customWidth="1"/>
    <col min="6146" max="6146" width="39.42578125" style="82" customWidth="1"/>
    <col min="6147" max="6147" width="6.28515625" style="82" customWidth="1"/>
    <col min="6148" max="6148" width="10.28515625" style="82" customWidth="1"/>
    <col min="6149" max="6149" width="10.42578125" style="82" customWidth="1"/>
    <col min="6150" max="6150" width="14.85546875" style="82" customWidth="1"/>
    <col min="6151" max="6151" width="11.85546875" style="82" customWidth="1"/>
    <col min="6152" max="6152" width="14.7109375" style="82" customWidth="1"/>
    <col min="6153" max="6153" width="11.42578125" style="82" bestFit="1" customWidth="1"/>
    <col min="6154" max="6154" width="9.28515625" style="82" bestFit="1" customWidth="1"/>
    <col min="6155" max="6155" width="10.28515625" style="82" bestFit="1" customWidth="1"/>
    <col min="6156" max="6156" width="9.28515625" style="82" bestFit="1" customWidth="1"/>
    <col min="6157" max="6157" width="10.85546875" style="82" customWidth="1"/>
    <col min="6158" max="6158" width="14.7109375" style="82" customWidth="1"/>
    <col min="6159" max="6159" width="9.140625" style="82"/>
    <col min="6160" max="6163" width="10.28515625" style="82" bestFit="1" customWidth="1"/>
    <col min="6164" max="6164" width="10.28515625" style="82" customWidth="1"/>
    <col min="6165" max="6400" width="9.140625" style="82"/>
    <col min="6401" max="6401" width="6.140625" style="82" customWidth="1"/>
    <col min="6402" max="6402" width="39.42578125" style="82" customWidth="1"/>
    <col min="6403" max="6403" width="6.28515625" style="82" customWidth="1"/>
    <col min="6404" max="6404" width="10.28515625" style="82" customWidth="1"/>
    <col min="6405" max="6405" width="10.42578125" style="82" customWidth="1"/>
    <col min="6406" max="6406" width="14.85546875" style="82" customWidth="1"/>
    <col min="6407" max="6407" width="11.85546875" style="82" customWidth="1"/>
    <col min="6408" max="6408" width="14.7109375" style="82" customWidth="1"/>
    <col min="6409" max="6409" width="11.42578125" style="82" bestFit="1" customWidth="1"/>
    <col min="6410" max="6410" width="9.28515625" style="82" bestFit="1" customWidth="1"/>
    <col min="6411" max="6411" width="10.28515625" style="82" bestFit="1" customWidth="1"/>
    <col min="6412" max="6412" width="9.28515625" style="82" bestFit="1" customWidth="1"/>
    <col min="6413" max="6413" width="10.85546875" style="82" customWidth="1"/>
    <col min="6414" max="6414" width="14.7109375" style="82" customWidth="1"/>
    <col min="6415" max="6415" width="9.140625" style="82"/>
    <col min="6416" max="6419" width="10.28515625" style="82" bestFit="1" customWidth="1"/>
    <col min="6420" max="6420" width="10.28515625" style="82" customWidth="1"/>
    <col min="6421" max="6656" width="9.140625" style="82"/>
    <col min="6657" max="6657" width="6.140625" style="82" customWidth="1"/>
    <col min="6658" max="6658" width="39.42578125" style="82" customWidth="1"/>
    <col min="6659" max="6659" width="6.28515625" style="82" customWidth="1"/>
    <col min="6660" max="6660" width="10.28515625" style="82" customWidth="1"/>
    <col min="6661" max="6661" width="10.42578125" style="82" customWidth="1"/>
    <col min="6662" max="6662" width="14.85546875" style="82" customWidth="1"/>
    <col min="6663" max="6663" width="11.85546875" style="82" customWidth="1"/>
    <col min="6664" max="6664" width="14.7109375" style="82" customWidth="1"/>
    <col min="6665" max="6665" width="11.42578125" style="82" bestFit="1" customWidth="1"/>
    <col min="6666" max="6666" width="9.28515625" style="82" bestFit="1" customWidth="1"/>
    <col min="6667" max="6667" width="10.28515625" style="82" bestFit="1" customWidth="1"/>
    <col min="6668" max="6668" width="9.28515625" style="82" bestFit="1" customWidth="1"/>
    <col min="6669" max="6669" width="10.85546875" style="82" customWidth="1"/>
    <col min="6670" max="6670" width="14.7109375" style="82" customWidth="1"/>
    <col min="6671" max="6671" width="9.140625" style="82"/>
    <col min="6672" max="6675" width="10.28515625" style="82" bestFit="1" customWidth="1"/>
    <col min="6676" max="6676" width="10.28515625" style="82" customWidth="1"/>
    <col min="6677" max="6912" width="9.140625" style="82"/>
    <col min="6913" max="6913" width="6.140625" style="82" customWidth="1"/>
    <col min="6914" max="6914" width="39.42578125" style="82" customWidth="1"/>
    <col min="6915" max="6915" width="6.28515625" style="82" customWidth="1"/>
    <col min="6916" max="6916" width="10.28515625" style="82" customWidth="1"/>
    <col min="6917" max="6917" width="10.42578125" style="82" customWidth="1"/>
    <col min="6918" max="6918" width="14.85546875" style="82" customWidth="1"/>
    <col min="6919" max="6919" width="11.85546875" style="82" customWidth="1"/>
    <col min="6920" max="6920" width="14.7109375" style="82" customWidth="1"/>
    <col min="6921" max="6921" width="11.42578125" style="82" bestFit="1" customWidth="1"/>
    <col min="6922" max="6922" width="9.28515625" style="82" bestFit="1" customWidth="1"/>
    <col min="6923" max="6923" width="10.28515625" style="82" bestFit="1" customWidth="1"/>
    <col min="6924" max="6924" width="9.28515625" style="82" bestFit="1" customWidth="1"/>
    <col min="6925" max="6925" width="10.85546875" style="82" customWidth="1"/>
    <col min="6926" max="6926" width="14.7109375" style="82" customWidth="1"/>
    <col min="6927" max="6927" width="9.140625" style="82"/>
    <col min="6928" max="6931" width="10.28515625" style="82" bestFit="1" customWidth="1"/>
    <col min="6932" max="6932" width="10.28515625" style="82" customWidth="1"/>
    <col min="6933" max="7168" width="9.140625" style="82"/>
    <col min="7169" max="7169" width="6.140625" style="82" customWidth="1"/>
    <col min="7170" max="7170" width="39.42578125" style="82" customWidth="1"/>
    <col min="7171" max="7171" width="6.28515625" style="82" customWidth="1"/>
    <col min="7172" max="7172" width="10.28515625" style="82" customWidth="1"/>
    <col min="7173" max="7173" width="10.42578125" style="82" customWidth="1"/>
    <col min="7174" max="7174" width="14.85546875" style="82" customWidth="1"/>
    <col min="7175" max="7175" width="11.85546875" style="82" customWidth="1"/>
    <col min="7176" max="7176" width="14.7109375" style="82" customWidth="1"/>
    <col min="7177" max="7177" width="11.42578125" style="82" bestFit="1" customWidth="1"/>
    <col min="7178" max="7178" width="9.28515625" style="82" bestFit="1" customWidth="1"/>
    <col min="7179" max="7179" width="10.28515625" style="82" bestFit="1" customWidth="1"/>
    <col min="7180" max="7180" width="9.28515625" style="82" bestFit="1" customWidth="1"/>
    <col min="7181" max="7181" width="10.85546875" style="82" customWidth="1"/>
    <col min="7182" max="7182" width="14.7109375" style="82" customWidth="1"/>
    <col min="7183" max="7183" width="9.140625" style="82"/>
    <col min="7184" max="7187" width="10.28515625" style="82" bestFit="1" customWidth="1"/>
    <col min="7188" max="7188" width="10.28515625" style="82" customWidth="1"/>
    <col min="7189" max="7424" width="9.140625" style="82"/>
    <col min="7425" max="7425" width="6.140625" style="82" customWidth="1"/>
    <col min="7426" max="7426" width="39.42578125" style="82" customWidth="1"/>
    <col min="7427" max="7427" width="6.28515625" style="82" customWidth="1"/>
    <col min="7428" max="7428" width="10.28515625" style="82" customWidth="1"/>
    <col min="7429" max="7429" width="10.42578125" style="82" customWidth="1"/>
    <col min="7430" max="7430" width="14.85546875" style="82" customWidth="1"/>
    <col min="7431" max="7431" width="11.85546875" style="82" customWidth="1"/>
    <col min="7432" max="7432" width="14.7109375" style="82" customWidth="1"/>
    <col min="7433" max="7433" width="11.42578125" style="82" bestFit="1" customWidth="1"/>
    <col min="7434" max="7434" width="9.28515625" style="82" bestFit="1" customWidth="1"/>
    <col min="7435" max="7435" width="10.28515625" style="82" bestFit="1" customWidth="1"/>
    <col min="7436" max="7436" width="9.28515625" style="82" bestFit="1" customWidth="1"/>
    <col min="7437" max="7437" width="10.85546875" style="82" customWidth="1"/>
    <col min="7438" max="7438" width="14.7109375" style="82" customWidth="1"/>
    <col min="7439" max="7439" width="9.140625" style="82"/>
    <col min="7440" max="7443" width="10.28515625" style="82" bestFit="1" customWidth="1"/>
    <col min="7444" max="7444" width="10.28515625" style="82" customWidth="1"/>
    <col min="7445" max="7680" width="9.140625" style="82"/>
    <col min="7681" max="7681" width="6.140625" style="82" customWidth="1"/>
    <col min="7682" max="7682" width="39.42578125" style="82" customWidth="1"/>
    <col min="7683" max="7683" width="6.28515625" style="82" customWidth="1"/>
    <col min="7684" max="7684" width="10.28515625" style="82" customWidth="1"/>
    <col min="7685" max="7685" width="10.42578125" style="82" customWidth="1"/>
    <col min="7686" max="7686" width="14.85546875" style="82" customWidth="1"/>
    <col min="7687" max="7687" width="11.85546875" style="82" customWidth="1"/>
    <col min="7688" max="7688" width="14.7109375" style="82" customWidth="1"/>
    <col min="7689" max="7689" width="11.42578125" style="82" bestFit="1" customWidth="1"/>
    <col min="7690" max="7690" width="9.28515625" style="82" bestFit="1" customWidth="1"/>
    <col min="7691" max="7691" width="10.28515625" style="82" bestFit="1" customWidth="1"/>
    <col min="7692" max="7692" width="9.28515625" style="82" bestFit="1" customWidth="1"/>
    <col min="7693" max="7693" width="10.85546875" style="82" customWidth="1"/>
    <col min="7694" max="7694" width="14.7109375" style="82" customWidth="1"/>
    <col min="7695" max="7695" width="9.140625" style="82"/>
    <col min="7696" max="7699" width="10.28515625" style="82" bestFit="1" customWidth="1"/>
    <col min="7700" max="7700" width="10.28515625" style="82" customWidth="1"/>
    <col min="7701" max="7936" width="9.140625" style="82"/>
    <col min="7937" max="7937" width="6.140625" style="82" customWidth="1"/>
    <col min="7938" max="7938" width="39.42578125" style="82" customWidth="1"/>
    <col min="7939" max="7939" width="6.28515625" style="82" customWidth="1"/>
    <col min="7940" max="7940" width="10.28515625" style="82" customWidth="1"/>
    <col min="7941" max="7941" width="10.42578125" style="82" customWidth="1"/>
    <col min="7942" max="7942" width="14.85546875" style="82" customWidth="1"/>
    <col min="7943" max="7943" width="11.85546875" style="82" customWidth="1"/>
    <col min="7944" max="7944" width="14.7109375" style="82" customWidth="1"/>
    <col min="7945" max="7945" width="11.42578125" style="82" bestFit="1" customWidth="1"/>
    <col min="7946" max="7946" width="9.28515625" style="82" bestFit="1" customWidth="1"/>
    <col min="7947" max="7947" width="10.28515625" style="82" bestFit="1" customWidth="1"/>
    <col min="7948" max="7948" width="9.28515625" style="82" bestFit="1" customWidth="1"/>
    <col min="7949" max="7949" width="10.85546875" style="82" customWidth="1"/>
    <col min="7950" max="7950" width="14.7109375" style="82" customWidth="1"/>
    <col min="7951" max="7951" width="9.140625" style="82"/>
    <col min="7952" max="7955" width="10.28515625" style="82" bestFit="1" customWidth="1"/>
    <col min="7956" max="7956" width="10.28515625" style="82" customWidth="1"/>
    <col min="7957" max="8192" width="9.140625" style="82"/>
    <col min="8193" max="8193" width="6.140625" style="82" customWidth="1"/>
    <col min="8194" max="8194" width="39.42578125" style="82" customWidth="1"/>
    <col min="8195" max="8195" width="6.28515625" style="82" customWidth="1"/>
    <col min="8196" max="8196" width="10.28515625" style="82" customWidth="1"/>
    <col min="8197" max="8197" width="10.42578125" style="82" customWidth="1"/>
    <col min="8198" max="8198" width="14.85546875" style="82" customWidth="1"/>
    <col min="8199" max="8199" width="11.85546875" style="82" customWidth="1"/>
    <col min="8200" max="8200" width="14.7109375" style="82" customWidth="1"/>
    <col min="8201" max="8201" width="11.42578125" style="82" bestFit="1" customWidth="1"/>
    <col min="8202" max="8202" width="9.28515625" style="82" bestFit="1" customWidth="1"/>
    <col min="8203" max="8203" width="10.28515625" style="82" bestFit="1" customWidth="1"/>
    <col min="8204" max="8204" width="9.28515625" style="82" bestFit="1" customWidth="1"/>
    <col min="8205" max="8205" width="10.85546875" style="82" customWidth="1"/>
    <col min="8206" max="8206" width="14.7109375" style="82" customWidth="1"/>
    <col min="8207" max="8207" width="9.140625" style="82"/>
    <col min="8208" max="8211" width="10.28515625" style="82" bestFit="1" customWidth="1"/>
    <col min="8212" max="8212" width="10.28515625" style="82" customWidth="1"/>
    <col min="8213" max="8448" width="9.140625" style="82"/>
    <col min="8449" max="8449" width="6.140625" style="82" customWidth="1"/>
    <col min="8450" max="8450" width="39.42578125" style="82" customWidth="1"/>
    <col min="8451" max="8451" width="6.28515625" style="82" customWidth="1"/>
    <col min="8452" max="8452" width="10.28515625" style="82" customWidth="1"/>
    <col min="8453" max="8453" width="10.42578125" style="82" customWidth="1"/>
    <col min="8454" max="8454" width="14.85546875" style="82" customWidth="1"/>
    <col min="8455" max="8455" width="11.85546875" style="82" customWidth="1"/>
    <col min="8456" max="8456" width="14.7109375" style="82" customWidth="1"/>
    <col min="8457" max="8457" width="11.42578125" style="82" bestFit="1" customWidth="1"/>
    <col min="8458" max="8458" width="9.28515625" style="82" bestFit="1" customWidth="1"/>
    <col min="8459" max="8459" width="10.28515625" style="82" bestFit="1" customWidth="1"/>
    <col min="8460" max="8460" width="9.28515625" style="82" bestFit="1" customWidth="1"/>
    <col min="8461" max="8461" width="10.85546875" style="82" customWidth="1"/>
    <col min="8462" max="8462" width="14.7109375" style="82" customWidth="1"/>
    <col min="8463" max="8463" width="9.140625" style="82"/>
    <col min="8464" max="8467" width="10.28515625" style="82" bestFit="1" customWidth="1"/>
    <col min="8468" max="8468" width="10.28515625" style="82" customWidth="1"/>
    <col min="8469" max="8704" width="9.140625" style="82"/>
    <col min="8705" max="8705" width="6.140625" style="82" customWidth="1"/>
    <col min="8706" max="8706" width="39.42578125" style="82" customWidth="1"/>
    <col min="8707" max="8707" width="6.28515625" style="82" customWidth="1"/>
    <col min="8708" max="8708" width="10.28515625" style="82" customWidth="1"/>
    <col min="8709" max="8709" width="10.42578125" style="82" customWidth="1"/>
    <col min="8710" max="8710" width="14.85546875" style="82" customWidth="1"/>
    <col min="8711" max="8711" width="11.85546875" style="82" customWidth="1"/>
    <col min="8712" max="8712" width="14.7109375" style="82" customWidth="1"/>
    <col min="8713" max="8713" width="11.42578125" style="82" bestFit="1" customWidth="1"/>
    <col min="8714" max="8714" width="9.28515625" style="82" bestFit="1" customWidth="1"/>
    <col min="8715" max="8715" width="10.28515625" style="82" bestFit="1" customWidth="1"/>
    <col min="8716" max="8716" width="9.28515625" style="82" bestFit="1" customWidth="1"/>
    <col min="8717" max="8717" width="10.85546875" style="82" customWidth="1"/>
    <col min="8718" max="8718" width="14.7109375" style="82" customWidth="1"/>
    <col min="8719" max="8719" width="9.140625" style="82"/>
    <col min="8720" max="8723" width="10.28515625" style="82" bestFit="1" customWidth="1"/>
    <col min="8724" max="8724" width="10.28515625" style="82" customWidth="1"/>
    <col min="8725" max="8960" width="9.140625" style="82"/>
    <col min="8961" max="8961" width="6.140625" style="82" customWidth="1"/>
    <col min="8962" max="8962" width="39.42578125" style="82" customWidth="1"/>
    <col min="8963" max="8963" width="6.28515625" style="82" customWidth="1"/>
    <col min="8964" max="8964" width="10.28515625" style="82" customWidth="1"/>
    <col min="8965" max="8965" width="10.42578125" style="82" customWidth="1"/>
    <col min="8966" max="8966" width="14.85546875" style="82" customWidth="1"/>
    <col min="8967" max="8967" width="11.85546875" style="82" customWidth="1"/>
    <col min="8968" max="8968" width="14.7109375" style="82" customWidth="1"/>
    <col min="8969" max="8969" width="11.42578125" style="82" bestFit="1" customWidth="1"/>
    <col min="8970" max="8970" width="9.28515625" style="82" bestFit="1" customWidth="1"/>
    <col min="8971" max="8971" width="10.28515625" style="82" bestFit="1" customWidth="1"/>
    <col min="8972" max="8972" width="9.28515625" style="82" bestFit="1" customWidth="1"/>
    <col min="8973" max="8973" width="10.85546875" style="82" customWidth="1"/>
    <col min="8974" max="8974" width="14.7109375" style="82" customWidth="1"/>
    <col min="8975" max="8975" width="9.140625" style="82"/>
    <col min="8976" max="8979" width="10.28515625" style="82" bestFit="1" customWidth="1"/>
    <col min="8980" max="8980" width="10.28515625" style="82" customWidth="1"/>
    <col min="8981" max="9216" width="9.140625" style="82"/>
    <col min="9217" max="9217" width="6.140625" style="82" customWidth="1"/>
    <col min="9218" max="9218" width="39.42578125" style="82" customWidth="1"/>
    <col min="9219" max="9219" width="6.28515625" style="82" customWidth="1"/>
    <col min="9220" max="9220" width="10.28515625" style="82" customWidth="1"/>
    <col min="9221" max="9221" width="10.42578125" style="82" customWidth="1"/>
    <col min="9222" max="9222" width="14.85546875" style="82" customWidth="1"/>
    <col min="9223" max="9223" width="11.85546875" style="82" customWidth="1"/>
    <col min="9224" max="9224" width="14.7109375" style="82" customWidth="1"/>
    <col min="9225" max="9225" width="11.42578125" style="82" bestFit="1" customWidth="1"/>
    <col min="9226" max="9226" width="9.28515625" style="82" bestFit="1" customWidth="1"/>
    <col min="9227" max="9227" width="10.28515625" style="82" bestFit="1" customWidth="1"/>
    <col min="9228" max="9228" width="9.28515625" style="82" bestFit="1" customWidth="1"/>
    <col min="9229" max="9229" width="10.85546875" style="82" customWidth="1"/>
    <col min="9230" max="9230" width="14.7109375" style="82" customWidth="1"/>
    <col min="9231" max="9231" width="9.140625" style="82"/>
    <col min="9232" max="9235" width="10.28515625" style="82" bestFit="1" customWidth="1"/>
    <col min="9236" max="9236" width="10.28515625" style="82" customWidth="1"/>
    <col min="9237" max="9472" width="9.140625" style="82"/>
    <col min="9473" max="9473" width="6.140625" style="82" customWidth="1"/>
    <col min="9474" max="9474" width="39.42578125" style="82" customWidth="1"/>
    <col min="9475" max="9475" width="6.28515625" style="82" customWidth="1"/>
    <col min="9476" max="9476" width="10.28515625" style="82" customWidth="1"/>
    <col min="9477" max="9477" width="10.42578125" style="82" customWidth="1"/>
    <col min="9478" max="9478" width="14.85546875" style="82" customWidth="1"/>
    <col min="9479" max="9479" width="11.85546875" style="82" customWidth="1"/>
    <col min="9480" max="9480" width="14.7109375" style="82" customWidth="1"/>
    <col min="9481" max="9481" width="11.42578125" style="82" bestFit="1" customWidth="1"/>
    <col min="9482" max="9482" width="9.28515625" style="82" bestFit="1" customWidth="1"/>
    <col min="9483" max="9483" width="10.28515625" style="82" bestFit="1" customWidth="1"/>
    <col min="9484" max="9484" width="9.28515625" style="82" bestFit="1" customWidth="1"/>
    <col min="9485" max="9485" width="10.85546875" style="82" customWidth="1"/>
    <col min="9486" max="9486" width="14.7109375" style="82" customWidth="1"/>
    <col min="9487" max="9487" width="9.140625" style="82"/>
    <col min="9488" max="9491" width="10.28515625" style="82" bestFit="1" customWidth="1"/>
    <col min="9492" max="9492" width="10.28515625" style="82" customWidth="1"/>
    <col min="9493" max="9728" width="9.140625" style="82"/>
    <col min="9729" max="9729" width="6.140625" style="82" customWidth="1"/>
    <col min="9730" max="9730" width="39.42578125" style="82" customWidth="1"/>
    <col min="9731" max="9731" width="6.28515625" style="82" customWidth="1"/>
    <col min="9732" max="9732" width="10.28515625" style="82" customWidth="1"/>
    <col min="9733" max="9733" width="10.42578125" style="82" customWidth="1"/>
    <col min="9734" max="9734" width="14.85546875" style="82" customWidth="1"/>
    <col min="9735" max="9735" width="11.85546875" style="82" customWidth="1"/>
    <col min="9736" max="9736" width="14.7109375" style="82" customWidth="1"/>
    <col min="9737" max="9737" width="11.42578125" style="82" bestFit="1" customWidth="1"/>
    <col min="9738" max="9738" width="9.28515625" style="82" bestFit="1" customWidth="1"/>
    <col min="9739" max="9739" width="10.28515625" style="82" bestFit="1" customWidth="1"/>
    <col min="9740" max="9740" width="9.28515625" style="82" bestFit="1" customWidth="1"/>
    <col min="9741" max="9741" width="10.85546875" style="82" customWidth="1"/>
    <col min="9742" max="9742" width="14.7109375" style="82" customWidth="1"/>
    <col min="9743" max="9743" width="9.140625" style="82"/>
    <col min="9744" max="9747" width="10.28515625" style="82" bestFit="1" customWidth="1"/>
    <col min="9748" max="9748" width="10.28515625" style="82" customWidth="1"/>
    <col min="9749" max="9984" width="9.140625" style="82"/>
    <col min="9985" max="9985" width="6.140625" style="82" customWidth="1"/>
    <col min="9986" max="9986" width="39.42578125" style="82" customWidth="1"/>
    <col min="9987" max="9987" width="6.28515625" style="82" customWidth="1"/>
    <col min="9988" max="9988" width="10.28515625" style="82" customWidth="1"/>
    <col min="9989" max="9989" width="10.42578125" style="82" customWidth="1"/>
    <col min="9990" max="9990" width="14.85546875" style="82" customWidth="1"/>
    <col min="9991" max="9991" width="11.85546875" style="82" customWidth="1"/>
    <col min="9992" max="9992" width="14.7109375" style="82" customWidth="1"/>
    <col min="9993" max="9993" width="11.42578125" style="82" bestFit="1" customWidth="1"/>
    <col min="9994" max="9994" width="9.28515625" style="82" bestFit="1" customWidth="1"/>
    <col min="9995" max="9995" width="10.28515625" style="82" bestFit="1" customWidth="1"/>
    <col min="9996" max="9996" width="9.28515625" style="82" bestFit="1" customWidth="1"/>
    <col min="9997" max="9997" width="10.85546875" style="82" customWidth="1"/>
    <col min="9998" max="9998" width="14.7109375" style="82" customWidth="1"/>
    <col min="9999" max="9999" width="9.140625" style="82"/>
    <col min="10000" max="10003" width="10.28515625" style="82" bestFit="1" customWidth="1"/>
    <col min="10004" max="10004" width="10.28515625" style="82" customWidth="1"/>
    <col min="10005" max="10240" width="9.140625" style="82"/>
    <col min="10241" max="10241" width="6.140625" style="82" customWidth="1"/>
    <col min="10242" max="10242" width="39.42578125" style="82" customWidth="1"/>
    <col min="10243" max="10243" width="6.28515625" style="82" customWidth="1"/>
    <col min="10244" max="10244" width="10.28515625" style="82" customWidth="1"/>
    <col min="10245" max="10245" width="10.42578125" style="82" customWidth="1"/>
    <col min="10246" max="10246" width="14.85546875" style="82" customWidth="1"/>
    <col min="10247" max="10247" width="11.85546875" style="82" customWidth="1"/>
    <col min="10248" max="10248" width="14.7109375" style="82" customWidth="1"/>
    <col min="10249" max="10249" width="11.42578125" style="82" bestFit="1" customWidth="1"/>
    <col min="10250" max="10250" width="9.28515625" style="82" bestFit="1" customWidth="1"/>
    <col min="10251" max="10251" width="10.28515625" style="82" bestFit="1" customWidth="1"/>
    <col min="10252" max="10252" width="9.28515625" style="82" bestFit="1" customWidth="1"/>
    <col min="10253" max="10253" width="10.85546875" style="82" customWidth="1"/>
    <col min="10254" max="10254" width="14.7109375" style="82" customWidth="1"/>
    <col min="10255" max="10255" width="9.140625" style="82"/>
    <col min="10256" max="10259" width="10.28515625" style="82" bestFit="1" customWidth="1"/>
    <col min="10260" max="10260" width="10.28515625" style="82" customWidth="1"/>
    <col min="10261" max="10496" width="9.140625" style="82"/>
    <col min="10497" max="10497" width="6.140625" style="82" customWidth="1"/>
    <col min="10498" max="10498" width="39.42578125" style="82" customWidth="1"/>
    <col min="10499" max="10499" width="6.28515625" style="82" customWidth="1"/>
    <col min="10500" max="10500" width="10.28515625" style="82" customWidth="1"/>
    <col min="10501" max="10501" width="10.42578125" style="82" customWidth="1"/>
    <col min="10502" max="10502" width="14.85546875" style="82" customWidth="1"/>
    <col min="10503" max="10503" width="11.85546875" style="82" customWidth="1"/>
    <col min="10504" max="10504" width="14.7109375" style="82" customWidth="1"/>
    <col min="10505" max="10505" width="11.42578125" style="82" bestFit="1" customWidth="1"/>
    <col min="10506" max="10506" width="9.28515625" style="82" bestFit="1" customWidth="1"/>
    <col min="10507" max="10507" width="10.28515625" style="82" bestFit="1" customWidth="1"/>
    <col min="10508" max="10508" width="9.28515625" style="82" bestFit="1" customWidth="1"/>
    <col min="10509" max="10509" width="10.85546875" style="82" customWidth="1"/>
    <col min="10510" max="10510" width="14.7109375" style="82" customWidth="1"/>
    <col min="10511" max="10511" width="9.140625" style="82"/>
    <col min="10512" max="10515" width="10.28515625" style="82" bestFit="1" customWidth="1"/>
    <col min="10516" max="10516" width="10.28515625" style="82" customWidth="1"/>
    <col min="10517" max="10752" width="9.140625" style="82"/>
    <col min="10753" max="10753" width="6.140625" style="82" customWidth="1"/>
    <col min="10754" max="10754" width="39.42578125" style="82" customWidth="1"/>
    <col min="10755" max="10755" width="6.28515625" style="82" customWidth="1"/>
    <col min="10756" max="10756" width="10.28515625" style="82" customWidth="1"/>
    <col min="10757" max="10757" width="10.42578125" style="82" customWidth="1"/>
    <col min="10758" max="10758" width="14.85546875" style="82" customWidth="1"/>
    <col min="10759" max="10759" width="11.85546875" style="82" customWidth="1"/>
    <col min="10760" max="10760" width="14.7109375" style="82" customWidth="1"/>
    <col min="10761" max="10761" width="11.42578125" style="82" bestFit="1" customWidth="1"/>
    <col min="10762" max="10762" width="9.28515625" style="82" bestFit="1" customWidth="1"/>
    <col min="10763" max="10763" width="10.28515625" style="82" bestFit="1" customWidth="1"/>
    <col min="10764" max="10764" width="9.28515625" style="82" bestFit="1" customWidth="1"/>
    <col min="10765" max="10765" width="10.85546875" style="82" customWidth="1"/>
    <col min="10766" max="10766" width="14.7109375" style="82" customWidth="1"/>
    <col min="10767" max="10767" width="9.140625" style="82"/>
    <col min="10768" max="10771" width="10.28515625" style="82" bestFit="1" customWidth="1"/>
    <col min="10772" max="10772" width="10.28515625" style="82" customWidth="1"/>
    <col min="10773" max="11008" width="9.140625" style="82"/>
    <col min="11009" max="11009" width="6.140625" style="82" customWidth="1"/>
    <col min="11010" max="11010" width="39.42578125" style="82" customWidth="1"/>
    <col min="11011" max="11011" width="6.28515625" style="82" customWidth="1"/>
    <col min="11012" max="11012" width="10.28515625" style="82" customWidth="1"/>
    <col min="11013" max="11013" width="10.42578125" style="82" customWidth="1"/>
    <col min="11014" max="11014" width="14.85546875" style="82" customWidth="1"/>
    <col min="11015" max="11015" width="11.85546875" style="82" customWidth="1"/>
    <col min="11016" max="11016" width="14.7109375" style="82" customWidth="1"/>
    <col min="11017" max="11017" width="11.42578125" style="82" bestFit="1" customWidth="1"/>
    <col min="11018" max="11018" width="9.28515625" style="82" bestFit="1" customWidth="1"/>
    <col min="11019" max="11019" width="10.28515625" style="82" bestFit="1" customWidth="1"/>
    <col min="11020" max="11020" width="9.28515625" style="82" bestFit="1" customWidth="1"/>
    <col min="11021" max="11021" width="10.85546875" style="82" customWidth="1"/>
    <col min="11022" max="11022" width="14.7109375" style="82" customWidth="1"/>
    <col min="11023" max="11023" width="9.140625" style="82"/>
    <col min="11024" max="11027" width="10.28515625" style="82" bestFit="1" customWidth="1"/>
    <col min="11028" max="11028" width="10.28515625" style="82" customWidth="1"/>
    <col min="11029" max="11264" width="9.140625" style="82"/>
    <col min="11265" max="11265" width="6.140625" style="82" customWidth="1"/>
    <col min="11266" max="11266" width="39.42578125" style="82" customWidth="1"/>
    <col min="11267" max="11267" width="6.28515625" style="82" customWidth="1"/>
    <col min="11268" max="11268" width="10.28515625" style="82" customWidth="1"/>
    <col min="11269" max="11269" width="10.42578125" style="82" customWidth="1"/>
    <col min="11270" max="11270" width="14.85546875" style="82" customWidth="1"/>
    <col min="11271" max="11271" width="11.85546875" style="82" customWidth="1"/>
    <col min="11272" max="11272" width="14.7109375" style="82" customWidth="1"/>
    <col min="11273" max="11273" width="11.42578125" style="82" bestFit="1" customWidth="1"/>
    <col min="11274" max="11274" width="9.28515625" style="82" bestFit="1" customWidth="1"/>
    <col min="11275" max="11275" width="10.28515625" style="82" bestFit="1" customWidth="1"/>
    <col min="11276" max="11276" width="9.28515625" style="82" bestFit="1" customWidth="1"/>
    <col min="11277" max="11277" width="10.85546875" style="82" customWidth="1"/>
    <col min="11278" max="11278" width="14.7109375" style="82" customWidth="1"/>
    <col min="11279" max="11279" width="9.140625" style="82"/>
    <col min="11280" max="11283" width="10.28515625" style="82" bestFit="1" customWidth="1"/>
    <col min="11284" max="11284" width="10.28515625" style="82" customWidth="1"/>
    <col min="11285" max="11520" width="9.140625" style="82"/>
    <col min="11521" max="11521" width="6.140625" style="82" customWidth="1"/>
    <col min="11522" max="11522" width="39.42578125" style="82" customWidth="1"/>
    <col min="11523" max="11523" width="6.28515625" style="82" customWidth="1"/>
    <col min="11524" max="11524" width="10.28515625" style="82" customWidth="1"/>
    <col min="11525" max="11525" width="10.42578125" style="82" customWidth="1"/>
    <col min="11526" max="11526" width="14.85546875" style="82" customWidth="1"/>
    <col min="11527" max="11527" width="11.85546875" style="82" customWidth="1"/>
    <col min="11528" max="11528" width="14.7109375" style="82" customWidth="1"/>
    <col min="11529" max="11529" width="11.42578125" style="82" bestFit="1" customWidth="1"/>
    <col min="11530" max="11530" width="9.28515625" style="82" bestFit="1" customWidth="1"/>
    <col min="11531" max="11531" width="10.28515625" style="82" bestFit="1" customWidth="1"/>
    <col min="11532" max="11532" width="9.28515625" style="82" bestFit="1" customWidth="1"/>
    <col min="11533" max="11533" width="10.85546875" style="82" customWidth="1"/>
    <col min="11534" max="11534" width="14.7109375" style="82" customWidth="1"/>
    <col min="11535" max="11535" width="9.140625" style="82"/>
    <col min="11536" max="11539" width="10.28515625" style="82" bestFit="1" customWidth="1"/>
    <col min="11540" max="11540" width="10.28515625" style="82" customWidth="1"/>
    <col min="11541" max="11776" width="9.140625" style="82"/>
    <col min="11777" max="11777" width="6.140625" style="82" customWidth="1"/>
    <col min="11778" max="11778" width="39.42578125" style="82" customWidth="1"/>
    <col min="11779" max="11779" width="6.28515625" style="82" customWidth="1"/>
    <col min="11780" max="11780" width="10.28515625" style="82" customWidth="1"/>
    <col min="11781" max="11781" width="10.42578125" style="82" customWidth="1"/>
    <col min="11782" max="11782" width="14.85546875" style="82" customWidth="1"/>
    <col min="11783" max="11783" width="11.85546875" style="82" customWidth="1"/>
    <col min="11784" max="11784" width="14.7109375" style="82" customWidth="1"/>
    <col min="11785" max="11785" width="11.42578125" style="82" bestFit="1" customWidth="1"/>
    <col min="11786" max="11786" width="9.28515625" style="82" bestFit="1" customWidth="1"/>
    <col min="11787" max="11787" width="10.28515625" style="82" bestFit="1" customWidth="1"/>
    <col min="11788" max="11788" width="9.28515625" style="82" bestFit="1" customWidth="1"/>
    <col min="11789" max="11789" width="10.85546875" style="82" customWidth="1"/>
    <col min="11790" max="11790" width="14.7109375" style="82" customWidth="1"/>
    <col min="11791" max="11791" width="9.140625" style="82"/>
    <col min="11792" max="11795" width="10.28515625" style="82" bestFit="1" customWidth="1"/>
    <col min="11796" max="11796" width="10.28515625" style="82" customWidth="1"/>
    <col min="11797" max="12032" width="9.140625" style="82"/>
    <col min="12033" max="12033" width="6.140625" style="82" customWidth="1"/>
    <col min="12034" max="12034" width="39.42578125" style="82" customWidth="1"/>
    <col min="12035" max="12035" width="6.28515625" style="82" customWidth="1"/>
    <col min="12036" max="12036" width="10.28515625" style="82" customWidth="1"/>
    <col min="12037" max="12037" width="10.42578125" style="82" customWidth="1"/>
    <col min="12038" max="12038" width="14.85546875" style="82" customWidth="1"/>
    <col min="12039" max="12039" width="11.85546875" style="82" customWidth="1"/>
    <col min="12040" max="12040" width="14.7109375" style="82" customWidth="1"/>
    <col min="12041" max="12041" width="11.42578125" style="82" bestFit="1" customWidth="1"/>
    <col min="12042" max="12042" width="9.28515625" style="82" bestFit="1" customWidth="1"/>
    <col min="12043" max="12043" width="10.28515625" style="82" bestFit="1" customWidth="1"/>
    <col min="12044" max="12044" width="9.28515625" style="82" bestFit="1" customWidth="1"/>
    <col min="12045" max="12045" width="10.85546875" style="82" customWidth="1"/>
    <col min="12046" max="12046" width="14.7109375" style="82" customWidth="1"/>
    <col min="12047" max="12047" width="9.140625" style="82"/>
    <col min="12048" max="12051" width="10.28515625" style="82" bestFit="1" customWidth="1"/>
    <col min="12052" max="12052" width="10.28515625" style="82" customWidth="1"/>
    <col min="12053" max="12288" width="9.140625" style="82"/>
    <col min="12289" max="12289" width="6.140625" style="82" customWidth="1"/>
    <col min="12290" max="12290" width="39.42578125" style="82" customWidth="1"/>
    <col min="12291" max="12291" width="6.28515625" style="82" customWidth="1"/>
    <col min="12292" max="12292" width="10.28515625" style="82" customWidth="1"/>
    <col min="12293" max="12293" width="10.42578125" style="82" customWidth="1"/>
    <col min="12294" max="12294" width="14.85546875" style="82" customWidth="1"/>
    <col min="12295" max="12295" width="11.85546875" style="82" customWidth="1"/>
    <col min="12296" max="12296" width="14.7109375" style="82" customWidth="1"/>
    <col min="12297" max="12297" width="11.42578125" style="82" bestFit="1" customWidth="1"/>
    <col min="12298" max="12298" width="9.28515625" style="82" bestFit="1" customWidth="1"/>
    <col min="12299" max="12299" width="10.28515625" style="82" bestFit="1" customWidth="1"/>
    <col min="12300" max="12300" width="9.28515625" style="82" bestFit="1" customWidth="1"/>
    <col min="12301" max="12301" width="10.85546875" style="82" customWidth="1"/>
    <col min="12302" max="12302" width="14.7109375" style="82" customWidth="1"/>
    <col min="12303" max="12303" width="9.140625" style="82"/>
    <col min="12304" max="12307" width="10.28515625" style="82" bestFit="1" customWidth="1"/>
    <col min="12308" max="12308" width="10.28515625" style="82" customWidth="1"/>
    <col min="12309" max="12544" width="9.140625" style="82"/>
    <col min="12545" max="12545" width="6.140625" style="82" customWidth="1"/>
    <col min="12546" max="12546" width="39.42578125" style="82" customWidth="1"/>
    <col min="12547" max="12547" width="6.28515625" style="82" customWidth="1"/>
    <col min="12548" max="12548" width="10.28515625" style="82" customWidth="1"/>
    <col min="12549" max="12549" width="10.42578125" style="82" customWidth="1"/>
    <col min="12550" max="12550" width="14.85546875" style="82" customWidth="1"/>
    <col min="12551" max="12551" width="11.85546875" style="82" customWidth="1"/>
    <col min="12552" max="12552" width="14.7109375" style="82" customWidth="1"/>
    <col min="12553" max="12553" width="11.42578125" style="82" bestFit="1" customWidth="1"/>
    <col min="12554" max="12554" width="9.28515625" style="82" bestFit="1" customWidth="1"/>
    <col min="12555" max="12555" width="10.28515625" style="82" bestFit="1" customWidth="1"/>
    <col min="12556" max="12556" width="9.28515625" style="82" bestFit="1" customWidth="1"/>
    <col min="12557" max="12557" width="10.85546875" style="82" customWidth="1"/>
    <col min="12558" max="12558" width="14.7109375" style="82" customWidth="1"/>
    <col min="12559" max="12559" width="9.140625" style="82"/>
    <col min="12560" max="12563" width="10.28515625" style="82" bestFit="1" customWidth="1"/>
    <col min="12564" max="12564" width="10.28515625" style="82" customWidth="1"/>
    <col min="12565" max="12800" width="9.140625" style="82"/>
    <col min="12801" max="12801" width="6.140625" style="82" customWidth="1"/>
    <col min="12802" max="12802" width="39.42578125" style="82" customWidth="1"/>
    <col min="12803" max="12803" width="6.28515625" style="82" customWidth="1"/>
    <col min="12804" max="12804" width="10.28515625" style="82" customWidth="1"/>
    <col min="12805" max="12805" width="10.42578125" style="82" customWidth="1"/>
    <col min="12806" max="12806" width="14.85546875" style="82" customWidth="1"/>
    <col min="12807" max="12807" width="11.85546875" style="82" customWidth="1"/>
    <col min="12808" max="12808" width="14.7109375" style="82" customWidth="1"/>
    <col min="12809" max="12809" width="11.42578125" style="82" bestFit="1" customWidth="1"/>
    <col min="12810" max="12810" width="9.28515625" style="82" bestFit="1" customWidth="1"/>
    <col min="12811" max="12811" width="10.28515625" style="82" bestFit="1" customWidth="1"/>
    <col min="12812" max="12812" width="9.28515625" style="82" bestFit="1" customWidth="1"/>
    <col min="12813" max="12813" width="10.85546875" style="82" customWidth="1"/>
    <col min="12814" max="12814" width="14.7109375" style="82" customWidth="1"/>
    <col min="12815" max="12815" width="9.140625" style="82"/>
    <col min="12816" max="12819" width="10.28515625" style="82" bestFit="1" customWidth="1"/>
    <col min="12820" max="12820" width="10.28515625" style="82" customWidth="1"/>
    <col min="12821" max="13056" width="9.140625" style="82"/>
    <col min="13057" max="13057" width="6.140625" style="82" customWidth="1"/>
    <col min="13058" max="13058" width="39.42578125" style="82" customWidth="1"/>
    <col min="13059" max="13059" width="6.28515625" style="82" customWidth="1"/>
    <col min="13060" max="13060" width="10.28515625" style="82" customWidth="1"/>
    <col min="13061" max="13061" width="10.42578125" style="82" customWidth="1"/>
    <col min="13062" max="13062" width="14.85546875" style="82" customWidth="1"/>
    <col min="13063" max="13063" width="11.85546875" style="82" customWidth="1"/>
    <col min="13064" max="13064" width="14.7109375" style="82" customWidth="1"/>
    <col min="13065" max="13065" width="11.42578125" style="82" bestFit="1" customWidth="1"/>
    <col min="13066" max="13066" width="9.28515625" style="82" bestFit="1" customWidth="1"/>
    <col min="13067" max="13067" width="10.28515625" style="82" bestFit="1" customWidth="1"/>
    <col min="13068" max="13068" width="9.28515625" style="82" bestFit="1" customWidth="1"/>
    <col min="13069" max="13069" width="10.85546875" style="82" customWidth="1"/>
    <col min="13070" max="13070" width="14.7109375" style="82" customWidth="1"/>
    <col min="13071" max="13071" width="9.140625" style="82"/>
    <col min="13072" max="13075" width="10.28515625" style="82" bestFit="1" customWidth="1"/>
    <col min="13076" max="13076" width="10.28515625" style="82" customWidth="1"/>
    <col min="13077" max="13312" width="9.140625" style="82"/>
    <col min="13313" max="13313" width="6.140625" style="82" customWidth="1"/>
    <col min="13314" max="13314" width="39.42578125" style="82" customWidth="1"/>
    <col min="13315" max="13315" width="6.28515625" style="82" customWidth="1"/>
    <col min="13316" max="13316" width="10.28515625" style="82" customWidth="1"/>
    <col min="13317" max="13317" width="10.42578125" style="82" customWidth="1"/>
    <col min="13318" max="13318" width="14.85546875" style="82" customWidth="1"/>
    <col min="13319" max="13319" width="11.85546875" style="82" customWidth="1"/>
    <col min="13320" max="13320" width="14.7109375" style="82" customWidth="1"/>
    <col min="13321" max="13321" width="11.42578125" style="82" bestFit="1" customWidth="1"/>
    <col min="13322" max="13322" width="9.28515625" style="82" bestFit="1" customWidth="1"/>
    <col min="13323" max="13323" width="10.28515625" style="82" bestFit="1" customWidth="1"/>
    <col min="13324" max="13324" width="9.28515625" style="82" bestFit="1" customWidth="1"/>
    <col min="13325" max="13325" width="10.85546875" style="82" customWidth="1"/>
    <col min="13326" max="13326" width="14.7109375" style="82" customWidth="1"/>
    <col min="13327" max="13327" width="9.140625" style="82"/>
    <col min="13328" max="13331" width="10.28515625" style="82" bestFit="1" customWidth="1"/>
    <col min="13332" max="13332" width="10.28515625" style="82" customWidth="1"/>
    <col min="13333" max="13568" width="9.140625" style="82"/>
    <col min="13569" max="13569" width="6.140625" style="82" customWidth="1"/>
    <col min="13570" max="13570" width="39.42578125" style="82" customWidth="1"/>
    <col min="13571" max="13571" width="6.28515625" style="82" customWidth="1"/>
    <col min="13572" max="13572" width="10.28515625" style="82" customWidth="1"/>
    <col min="13573" max="13573" width="10.42578125" style="82" customWidth="1"/>
    <col min="13574" max="13574" width="14.85546875" style="82" customWidth="1"/>
    <col min="13575" max="13575" width="11.85546875" style="82" customWidth="1"/>
    <col min="13576" max="13576" width="14.7109375" style="82" customWidth="1"/>
    <col min="13577" max="13577" width="11.42578125" style="82" bestFit="1" customWidth="1"/>
    <col min="13578" max="13578" width="9.28515625" style="82" bestFit="1" customWidth="1"/>
    <col min="13579" max="13579" width="10.28515625" style="82" bestFit="1" customWidth="1"/>
    <col min="13580" max="13580" width="9.28515625" style="82" bestFit="1" customWidth="1"/>
    <col min="13581" max="13581" width="10.85546875" style="82" customWidth="1"/>
    <col min="13582" max="13582" width="14.7109375" style="82" customWidth="1"/>
    <col min="13583" max="13583" width="9.140625" style="82"/>
    <col min="13584" max="13587" width="10.28515625" style="82" bestFit="1" customWidth="1"/>
    <col min="13588" max="13588" width="10.28515625" style="82" customWidth="1"/>
    <col min="13589" max="13824" width="9.140625" style="82"/>
    <col min="13825" max="13825" width="6.140625" style="82" customWidth="1"/>
    <col min="13826" max="13826" width="39.42578125" style="82" customWidth="1"/>
    <col min="13827" max="13827" width="6.28515625" style="82" customWidth="1"/>
    <col min="13828" max="13828" width="10.28515625" style="82" customWidth="1"/>
    <col min="13829" max="13829" width="10.42578125" style="82" customWidth="1"/>
    <col min="13830" max="13830" width="14.85546875" style="82" customWidth="1"/>
    <col min="13831" max="13831" width="11.85546875" style="82" customWidth="1"/>
    <col min="13832" max="13832" width="14.7109375" style="82" customWidth="1"/>
    <col min="13833" max="13833" width="11.42578125" style="82" bestFit="1" customWidth="1"/>
    <col min="13834" max="13834" width="9.28515625" style="82" bestFit="1" customWidth="1"/>
    <col min="13835" max="13835" width="10.28515625" style="82" bestFit="1" customWidth="1"/>
    <col min="13836" max="13836" width="9.28515625" style="82" bestFit="1" customWidth="1"/>
    <col min="13837" max="13837" width="10.85546875" style="82" customWidth="1"/>
    <col min="13838" max="13838" width="14.7109375" style="82" customWidth="1"/>
    <col min="13839" max="13839" width="9.140625" style="82"/>
    <col min="13840" max="13843" width="10.28515625" style="82" bestFit="1" customWidth="1"/>
    <col min="13844" max="13844" width="10.28515625" style="82" customWidth="1"/>
    <col min="13845" max="14080" width="9.140625" style="82"/>
    <col min="14081" max="14081" width="6.140625" style="82" customWidth="1"/>
    <col min="14082" max="14082" width="39.42578125" style="82" customWidth="1"/>
    <col min="14083" max="14083" width="6.28515625" style="82" customWidth="1"/>
    <col min="14084" max="14084" width="10.28515625" style="82" customWidth="1"/>
    <col min="14085" max="14085" width="10.42578125" style="82" customWidth="1"/>
    <col min="14086" max="14086" width="14.85546875" style="82" customWidth="1"/>
    <col min="14087" max="14087" width="11.85546875" style="82" customWidth="1"/>
    <col min="14088" max="14088" width="14.7109375" style="82" customWidth="1"/>
    <col min="14089" max="14089" width="11.42578125" style="82" bestFit="1" customWidth="1"/>
    <col min="14090" max="14090" width="9.28515625" style="82" bestFit="1" customWidth="1"/>
    <col min="14091" max="14091" width="10.28515625" style="82" bestFit="1" customWidth="1"/>
    <col min="14092" max="14092" width="9.28515625" style="82" bestFit="1" customWidth="1"/>
    <col min="14093" max="14093" width="10.85546875" style="82" customWidth="1"/>
    <col min="14094" max="14094" width="14.7109375" style="82" customWidth="1"/>
    <col min="14095" max="14095" width="9.140625" style="82"/>
    <col min="14096" max="14099" width="10.28515625" style="82" bestFit="1" customWidth="1"/>
    <col min="14100" max="14100" width="10.28515625" style="82" customWidth="1"/>
    <col min="14101" max="14336" width="9.140625" style="82"/>
    <col min="14337" max="14337" width="6.140625" style="82" customWidth="1"/>
    <col min="14338" max="14338" width="39.42578125" style="82" customWidth="1"/>
    <col min="14339" max="14339" width="6.28515625" style="82" customWidth="1"/>
    <col min="14340" max="14340" width="10.28515625" style="82" customWidth="1"/>
    <col min="14341" max="14341" width="10.42578125" style="82" customWidth="1"/>
    <col min="14342" max="14342" width="14.85546875" style="82" customWidth="1"/>
    <col min="14343" max="14343" width="11.85546875" style="82" customWidth="1"/>
    <col min="14344" max="14344" width="14.7109375" style="82" customWidth="1"/>
    <col min="14345" max="14345" width="11.42578125" style="82" bestFit="1" customWidth="1"/>
    <col min="14346" max="14346" width="9.28515625" style="82" bestFit="1" customWidth="1"/>
    <col min="14347" max="14347" width="10.28515625" style="82" bestFit="1" customWidth="1"/>
    <col min="14348" max="14348" width="9.28515625" style="82" bestFit="1" customWidth="1"/>
    <col min="14349" max="14349" width="10.85546875" style="82" customWidth="1"/>
    <col min="14350" max="14350" width="14.7109375" style="82" customWidth="1"/>
    <col min="14351" max="14351" width="9.140625" style="82"/>
    <col min="14352" max="14355" width="10.28515625" style="82" bestFit="1" customWidth="1"/>
    <col min="14356" max="14356" width="10.28515625" style="82" customWidth="1"/>
    <col min="14357" max="14592" width="9.140625" style="82"/>
    <col min="14593" max="14593" width="6.140625" style="82" customWidth="1"/>
    <col min="14594" max="14594" width="39.42578125" style="82" customWidth="1"/>
    <col min="14595" max="14595" width="6.28515625" style="82" customWidth="1"/>
    <col min="14596" max="14596" width="10.28515625" style="82" customWidth="1"/>
    <col min="14597" max="14597" width="10.42578125" style="82" customWidth="1"/>
    <col min="14598" max="14598" width="14.85546875" style="82" customWidth="1"/>
    <col min="14599" max="14599" width="11.85546875" style="82" customWidth="1"/>
    <col min="14600" max="14600" width="14.7109375" style="82" customWidth="1"/>
    <col min="14601" max="14601" width="11.42578125" style="82" bestFit="1" customWidth="1"/>
    <col min="14602" max="14602" width="9.28515625" style="82" bestFit="1" customWidth="1"/>
    <col min="14603" max="14603" width="10.28515625" style="82" bestFit="1" customWidth="1"/>
    <col min="14604" max="14604" width="9.28515625" style="82" bestFit="1" customWidth="1"/>
    <col min="14605" max="14605" width="10.85546875" style="82" customWidth="1"/>
    <col min="14606" max="14606" width="14.7109375" style="82" customWidth="1"/>
    <col min="14607" max="14607" width="9.140625" style="82"/>
    <col min="14608" max="14611" width="10.28515625" style="82" bestFit="1" customWidth="1"/>
    <col min="14612" max="14612" width="10.28515625" style="82" customWidth="1"/>
    <col min="14613" max="14848" width="9.140625" style="82"/>
    <col min="14849" max="14849" width="6.140625" style="82" customWidth="1"/>
    <col min="14850" max="14850" width="39.42578125" style="82" customWidth="1"/>
    <col min="14851" max="14851" width="6.28515625" style="82" customWidth="1"/>
    <col min="14852" max="14852" width="10.28515625" style="82" customWidth="1"/>
    <col min="14853" max="14853" width="10.42578125" style="82" customWidth="1"/>
    <col min="14854" max="14854" width="14.85546875" style="82" customWidth="1"/>
    <col min="14855" max="14855" width="11.85546875" style="82" customWidth="1"/>
    <col min="14856" max="14856" width="14.7109375" style="82" customWidth="1"/>
    <col min="14857" max="14857" width="11.42578125" style="82" bestFit="1" customWidth="1"/>
    <col min="14858" max="14858" width="9.28515625" style="82" bestFit="1" customWidth="1"/>
    <col min="14859" max="14859" width="10.28515625" style="82" bestFit="1" customWidth="1"/>
    <col min="14860" max="14860" width="9.28515625" style="82" bestFit="1" customWidth="1"/>
    <col min="14861" max="14861" width="10.85546875" style="82" customWidth="1"/>
    <col min="14862" max="14862" width="14.7109375" style="82" customWidth="1"/>
    <col min="14863" max="14863" width="9.140625" style="82"/>
    <col min="14864" max="14867" width="10.28515625" style="82" bestFit="1" customWidth="1"/>
    <col min="14868" max="14868" width="10.28515625" style="82" customWidth="1"/>
    <col min="14869" max="15104" width="9.140625" style="82"/>
    <col min="15105" max="15105" width="6.140625" style="82" customWidth="1"/>
    <col min="15106" max="15106" width="39.42578125" style="82" customWidth="1"/>
    <col min="15107" max="15107" width="6.28515625" style="82" customWidth="1"/>
    <col min="15108" max="15108" width="10.28515625" style="82" customWidth="1"/>
    <col min="15109" max="15109" width="10.42578125" style="82" customWidth="1"/>
    <col min="15110" max="15110" width="14.85546875" style="82" customWidth="1"/>
    <col min="15111" max="15111" width="11.85546875" style="82" customWidth="1"/>
    <col min="15112" max="15112" width="14.7109375" style="82" customWidth="1"/>
    <col min="15113" max="15113" width="11.42578125" style="82" bestFit="1" customWidth="1"/>
    <col min="15114" max="15114" width="9.28515625" style="82" bestFit="1" customWidth="1"/>
    <col min="15115" max="15115" width="10.28515625" style="82" bestFit="1" customWidth="1"/>
    <col min="15116" max="15116" width="9.28515625" style="82" bestFit="1" customWidth="1"/>
    <col min="15117" max="15117" width="10.85546875" style="82" customWidth="1"/>
    <col min="15118" max="15118" width="14.7109375" style="82" customWidth="1"/>
    <col min="15119" max="15119" width="9.140625" style="82"/>
    <col min="15120" max="15123" width="10.28515625" style="82" bestFit="1" customWidth="1"/>
    <col min="15124" max="15124" width="10.28515625" style="82" customWidth="1"/>
    <col min="15125" max="15360" width="9.140625" style="82"/>
    <col min="15361" max="15361" width="6.140625" style="82" customWidth="1"/>
    <col min="15362" max="15362" width="39.42578125" style="82" customWidth="1"/>
    <col min="15363" max="15363" width="6.28515625" style="82" customWidth="1"/>
    <col min="15364" max="15364" width="10.28515625" style="82" customWidth="1"/>
    <col min="15365" max="15365" width="10.42578125" style="82" customWidth="1"/>
    <col min="15366" max="15366" width="14.85546875" style="82" customWidth="1"/>
    <col min="15367" max="15367" width="11.85546875" style="82" customWidth="1"/>
    <col min="15368" max="15368" width="14.7109375" style="82" customWidth="1"/>
    <col min="15369" max="15369" width="11.42578125" style="82" bestFit="1" customWidth="1"/>
    <col min="15370" max="15370" width="9.28515625" style="82" bestFit="1" customWidth="1"/>
    <col min="15371" max="15371" width="10.28515625" style="82" bestFit="1" customWidth="1"/>
    <col min="15372" max="15372" width="9.28515625" style="82" bestFit="1" customWidth="1"/>
    <col min="15373" max="15373" width="10.85546875" style="82" customWidth="1"/>
    <col min="15374" max="15374" width="14.7109375" style="82" customWidth="1"/>
    <col min="15375" max="15375" width="9.140625" style="82"/>
    <col min="15376" max="15379" width="10.28515625" style="82" bestFit="1" customWidth="1"/>
    <col min="15380" max="15380" width="10.28515625" style="82" customWidth="1"/>
    <col min="15381" max="15616" width="9.140625" style="82"/>
    <col min="15617" max="15617" width="6.140625" style="82" customWidth="1"/>
    <col min="15618" max="15618" width="39.42578125" style="82" customWidth="1"/>
    <col min="15619" max="15619" width="6.28515625" style="82" customWidth="1"/>
    <col min="15620" max="15620" width="10.28515625" style="82" customWidth="1"/>
    <col min="15621" max="15621" width="10.42578125" style="82" customWidth="1"/>
    <col min="15622" max="15622" width="14.85546875" style="82" customWidth="1"/>
    <col min="15623" max="15623" width="11.85546875" style="82" customWidth="1"/>
    <col min="15624" max="15624" width="14.7109375" style="82" customWidth="1"/>
    <col min="15625" max="15625" width="11.42578125" style="82" bestFit="1" customWidth="1"/>
    <col min="15626" max="15626" width="9.28515625" style="82" bestFit="1" customWidth="1"/>
    <col min="15627" max="15627" width="10.28515625" style="82" bestFit="1" customWidth="1"/>
    <col min="15628" max="15628" width="9.28515625" style="82" bestFit="1" customWidth="1"/>
    <col min="15629" max="15629" width="10.85546875" style="82" customWidth="1"/>
    <col min="15630" max="15630" width="14.7109375" style="82" customWidth="1"/>
    <col min="15631" max="15631" width="9.140625" style="82"/>
    <col min="15632" max="15635" width="10.28515625" style="82" bestFit="1" customWidth="1"/>
    <col min="15636" max="15636" width="10.28515625" style="82" customWidth="1"/>
    <col min="15637" max="15872" width="9.140625" style="82"/>
    <col min="15873" max="15873" width="6.140625" style="82" customWidth="1"/>
    <col min="15874" max="15874" width="39.42578125" style="82" customWidth="1"/>
    <col min="15875" max="15875" width="6.28515625" style="82" customWidth="1"/>
    <col min="15876" max="15876" width="10.28515625" style="82" customWidth="1"/>
    <col min="15877" max="15877" width="10.42578125" style="82" customWidth="1"/>
    <col min="15878" max="15878" width="14.85546875" style="82" customWidth="1"/>
    <col min="15879" max="15879" width="11.85546875" style="82" customWidth="1"/>
    <col min="15880" max="15880" width="14.7109375" style="82" customWidth="1"/>
    <col min="15881" max="15881" width="11.42578125" style="82" bestFit="1" customWidth="1"/>
    <col min="15882" max="15882" width="9.28515625" style="82" bestFit="1" customWidth="1"/>
    <col min="15883" max="15883" width="10.28515625" style="82" bestFit="1" customWidth="1"/>
    <col min="15884" max="15884" width="9.28515625" style="82" bestFit="1" customWidth="1"/>
    <col min="15885" max="15885" width="10.85546875" style="82" customWidth="1"/>
    <col min="15886" max="15886" width="14.7109375" style="82" customWidth="1"/>
    <col min="15887" max="15887" width="9.140625" style="82"/>
    <col min="15888" max="15891" width="10.28515625" style="82" bestFit="1" customWidth="1"/>
    <col min="15892" max="15892" width="10.28515625" style="82" customWidth="1"/>
    <col min="15893" max="16128" width="9.140625" style="82"/>
    <col min="16129" max="16129" width="6.140625" style="82" customWidth="1"/>
    <col min="16130" max="16130" width="39.42578125" style="82" customWidth="1"/>
    <col min="16131" max="16131" width="6.28515625" style="82" customWidth="1"/>
    <col min="16132" max="16132" width="10.28515625" style="82" customWidth="1"/>
    <col min="16133" max="16133" width="10.42578125" style="82" customWidth="1"/>
    <col min="16134" max="16134" width="14.85546875" style="82" customWidth="1"/>
    <col min="16135" max="16135" width="11.85546875" style="82" customWidth="1"/>
    <col min="16136" max="16136" width="14.7109375" style="82" customWidth="1"/>
    <col min="16137" max="16137" width="11.42578125" style="82" bestFit="1" customWidth="1"/>
    <col min="16138" max="16138" width="9.28515625" style="82" bestFit="1" customWidth="1"/>
    <col min="16139" max="16139" width="10.28515625" style="82" bestFit="1" customWidth="1"/>
    <col min="16140" max="16140" width="9.28515625" style="82" bestFit="1" customWidth="1"/>
    <col min="16141" max="16141" width="10.85546875" style="82" customWidth="1"/>
    <col min="16142" max="16142" width="14.7109375" style="82" customWidth="1"/>
    <col min="16143" max="16143" width="9.140625" style="82"/>
    <col min="16144" max="16147" width="10.28515625" style="82" bestFit="1" customWidth="1"/>
    <col min="16148" max="16148" width="10.28515625" style="82" customWidth="1"/>
    <col min="16149" max="16384" width="9.140625" style="82"/>
  </cols>
  <sheetData>
    <row r="3" spans="1:18" x14ac:dyDescent="0.25">
      <c r="H3" s="83"/>
    </row>
    <row r="5" spans="1:18" ht="12" customHeight="1" x14ac:dyDescent="0.25">
      <c r="H5" s="83"/>
    </row>
    <row r="6" spans="1:18" x14ac:dyDescent="0.25">
      <c r="A6" s="323" t="s">
        <v>179</v>
      </c>
      <c r="B6" s="323"/>
      <c r="C6" s="323"/>
      <c r="D6" s="323"/>
      <c r="E6" s="323"/>
      <c r="F6" s="323"/>
      <c r="G6" s="83"/>
      <c r="I6" s="83"/>
    </row>
    <row r="7" spans="1:18" x14ac:dyDescent="0.25">
      <c r="A7" s="85"/>
      <c r="B7" s="85"/>
      <c r="C7" s="84"/>
      <c r="D7" s="85"/>
      <c r="E7" s="85"/>
      <c r="F7" s="85"/>
      <c r="H7" s="83"/>
    </row>
    <row r="9" spans="1:18" x14ac:dyDescent="0.25">
      <c r="A9" s="86" t="s">
        <v>180</v>
      </c>
      <c r="B9" s="87" t="s">
        <v>181</v>
      </c>
      <c r="E9" s="88" t="s">
        <v>182</v>
      </c>
      <c r="F9" s="89">
        <v>45589</v>
      </c>
      <c r="G9" s="82">
        <v>42966.95</v>
      </c>
    </row>
    <row r="10" spans="1:18" x14ac:dyDescent="0.25">
      <c r="A10" s="86" t="s">
        <v>183</v>
      </c>
      <c r="B10" s="87" t="s">
        <v>184</v>
      </c>
      <c r="G10" s="82">
        <f>G9</f>
        <v>42966.95</v>
      </c>
    </row>
    <row r="11" spans="1:18" x14ac:dyDescent="0.25">
      <c r="A11" s="86" t="s">
        <v>185</v>
      </c>
      <c r="B11" s="324" t="s">
        <v>186</v>
      </c>
      <c r="C11" s="324"/>
      <c r="D11" s="324"/>
      <c r="E11" s="324"/>
      <c r="F11" s="324"/>
      <c r="I11" s="82" t="s">
        <v>187</v>
      </c>
      <c r="J11" s="82">
        <v>1.4</v>
      </c>
      <c r="K11" s="90">
        <f>1-(1/J11)</f>
        <v>0.2857142857142857</v>
      </c>
      <c r="L11" s="90">
        <v>0.115</v>
      </c>
      <c r="M11" s="90">
        <f>K11-L11</f>
        <v>0.17071428571428571</v>
      </c>
      <c r="N11" s="82">
        <f>M11*F116</f>
        <v>1366330.6442194032</v>
      </c>
    </row>
    <row r="12" spans="1:18" hidden="1" x14ac:dyDescent="0.25">
      <c r="A12" s="91"/>
    </row>
    <row r="13" spans="1:18" hidden="1" x14ac:dyDescent="0.25">
      <c r="G13" s="83"/>
      <c r="H13" s="83"/>
    </row>
    <row r="14" spans="1:18" x14ac:dyDescent="0.25">
      <c r="A14" s="92" t="s">
        <v>188</v>
      </c>
      <c r="B14" s="93" t="s">
        <v>189</v>
      </c>
      <c r="C14" s="94" t="s">
        <v>190</v>
      </c>
      <c r="D14" s="94" t="s">
        <v>191</v>
      </c>
      <c r="E14" s="94" t="s">
        <v>192</v>
      </c>
      <c r="F14" s="94" t="s">
        <v>193</v>
      </c>
      <c r="I14" s="82" t="s">
        <v>194</v>
      </c>
      <c r="J14" s="82" t="s">
        <v>195</v>
      </c>
      <c r="K14" s="82" t="s">
        <v>196</v>
      </c>
      <c r="L14" s="82" t="s">
        <v>197</v>
      </c>
      <c r="M14" s="82" t="s">
        <v>198</v>
      </c>
    </row>
    <row r="15" spans="1:18" x14ac:dyDescent="0.25">
      <c r="A15" s="95"/>
      <c r="B15" s="96"/>
      <c r="C15" s="97"/>
      <c r="D15" s="97"/>
      <c r="E15" s="97"/>
      <c r="F15" s="97"/>
    </row>
    <row r="16" spans="1:18" x14ac:dyDescent="0.25">
      <c r="A16" s="98">
        <v>1</v>
      </c>
      <c r="B16" s="99" t="s">
        <v>199</v>
      </c>
      <c r="C16" s="100"/>
      <c r="D16" s="100"/>
      <c r="E16" s="100"/>
      <c r="F16" s="100"/>
      <c r="Q16" s="82">
        <v>22</v>
      </c>
      <c r="R16" s="82">
        <v>22</v>
      </c>
    </row>
    <row r="17" spans="1:20" ht="25.5" x14ac:dyDescent="0.25">
      <c r="A17" s="98" t="s">
        <v>7</v>
      </c>
      <c r="B17" s="99" t="s">
        <v>200</v>
      </c>
      <c r="C17" s="100" t="s">
        <v>98</v>
      </c>
      <c r="D17" s="101">
        <v>70543.759999999995</v>
      </c>
      <c r="E17" s="100">
        <f t="shared" ref="E17:E22" si="0">M17</f>
        <v>2.9857333333333331</v>
      </c>
      <c r="F17" s="100">
        <f t="shared" ref="F17:F22" si="1">E17*D17</f>
        <v>210624.85569066665</v>
      </c>
      <c r="G17" s="102" t="e">
        <f t="shared" ref="G17:G22" si="2">F17/$F$119</f>
        <v>#DIV/0!</v>
      </c>
      <c r="H17" s="82">
        <f t="shared" ref="H17:H22" si="3">I17*D17</f>
        <v>0</v>
      </c>
      <c r="I17" s="128">
        <v>0</v>
      </c>
      <c r="J17" s="128">
        <v>0</v>
      </c>
      <c r="K17" s="128">
        <f>T18/(3000*7)</f>
        <v>2.1326666666666667</v>
      </c>
      <c r="L17" s="82">
        <f t="shared" ref="L17:L22" si="4">SUM(I17:K17)</f>
        <v>2.1326666666666667</v>
      </c>
      <c r="M17" s="82">
        <f t="shared" ref="M17:M22" si="5">L17*$J$11</f>
        <v>2.9857333333333331</v>
      </c>
      <c r="O17" s="88" t="s">
        <v>201</v>
      </c>
      <c r="P17" s="82">
        <f>24000+4000</f>
        <v>28000</v>
      </c>
      <c r="Q17" s="82">
        <f>16*7*6.5*$Q$16</f>
        <v>16016</v>
      </c>
      <c r="R17" s="82">
        <f>(25+10)*$R$16</f>
        <v>770</v>
      </c>
      <c r="S17" s="82">
        <v>1</v>
      </c>
      <c r="T17" s="82">
        <f>SUM(P17:R17)*S17</f>
        <v>44786</v>
      </c>
    </row>
    <row r="18" spans="1:20" x14ac:dyDescent="0.25">
      <c r="A18" s="98" t="s">
        <v>9</v>
      </c>
      <c r="B18" s="99" t="s">
        <v>202</v>
      </c>
      <c r="C18" s="100" t="s">
        <v>203</v>
      </c>
      <c r="D18" s="101">
        <f>D17*0.2</f>
        <v>14108.752</v>
      </c>
      <c r="E18" s="100">
        <f t="shared" si="0"/>
        <v>3.1666868686868686</v>
      </c>
      <c r="F18" s="100">
        <f t="shared" si="1"/>
        <v>44677.999691959594</v>
      </c>
      <c r="G18" s="102" t="e">
        <f t="shared" si="2"/>
        <v>#DIV/0!</v>
      </c>
      <c r="H18" s="82">
        <f t="shared" si="3"/>
        <v>0</v>
      </c>
      <c r="I18" s="128">
        <v>0</v>
      </c>
      <c r="J18" s="128">
        <v>0</v>
      </c>
      <c r="K18" s="128">
        <f>T17/R16/900</f>
        <v>2.2619191919191919</v>
      </c>
      <c r="L18" s="82">
        <f t="shared" si="4"/>
        <v>2.2619191919191919</v>
      </c>
      <c r="M18" s="82">
        <f t="shared" si="5"/>
        <v>3.1666868686868686</v>
      </c>
      <c r="O18" s="88" t="s">
        <v>204</v>
      </c>
      <c r="P18" s="82">
        <f>24000+4000</f>
        <v>28000</v>
      </c>
      <c r="Q18" s="82">
        <f>16*7*6.5*$Q$16</f>
        <v>16016</v>
      </c>
      <c r="R18" s="82">
        <f>(25+10)*$R$16</f>
        <v>770</v>
      </c>
      <c r="S18" s="82">
        <v>1</v>
      </c>
      <c r="T18" s="82">
        <f>SUM(P18:R18)*S18</f>
        <v>44786</v>
      </c>
    </row>
    <row r="19" spans="1:20" x14ac:dyDescent="0.25">
      <c r="A19" s="98" t="s">
        <v>12</v>
      </c>
      <c r="B19" s="99" t="s">
        <v>205</v>
      </c>
      <c r="C19" s="100" t="s">
        <v>203</v>
      </c>
      <c r="D19" s="101">
        <v>39676.239999999998</v>
      </c>
      <c r="E19" s="100">
        <f t="shared" si="0"/>
        <v>4.7500303030303028</v>
      </c>
      <c r="F19" s="100">
        <f t="shared" si="1"/>
        <v>188463.34231030301</v>
      </c>
      <c r="G19" s="102" t="e">
        <f t="shared" si="2"/>
        <v>#DIV/0!</v>
      </c>
      <c r="H19" s="82">
        <f t="shared" si="3"/>
        <v>0</v>
      </c>
      <c r="I19" s="128">
        <v>0</v>
      </c>
      <c r="J19" s="128">
        <v>0</v>
      </c>
      <c r="K19" s="128">
        <f>T17/R16/600</f>
        <v>3.392878787878788</v>
      </c>
      <c r="L19" s="82">
        <f t="shared" si="4"/>
        <v>3.392878787878788</v>
      </c>
      <c r="M19" s="82">
        <f t="shared" si="5"/>
        <v>4.7500303030303028</v>
      </c>
      <c r="O19" s="88" t="s">
        <v>206</v>
      </c>
      <c r="P19" s="82">
        <f>15000+3000</f>
        <v>18000</v>
      </c>
      <c r="Q19" s="82">
        <f>8*7*6.5*$Q$16</f>
        <v>8008</v>
      </c>
      <c r="R19" s="82">
        <f>(25+10)*$R$16</f>
        <v>770</v>
      </c>
      <c r="S19" s="82">
        <v>2</v>
      </c>
      <c r="T19" s="82">
        <f t="shared" ref="T19:T24" si="6">SUM(P19:R19)*S19</f>
        <v>53556</v>
      </c>
    </row>
    <row r="20" spans="1:20" x14ac:dyDescent="0.25">
      <c r="A20" s="98" t="s">
        <v>207</v>
      </c>
      <c r="B20" s="99" t="s">
        <v>208</v>
      </c>
      <c r="C20" s="100" t="s">
        <v>203</v>
      </c>
      <c r="D20" s="101">
        <f>D19</f>
        <v>39676.239999999998</v>
      </c>
      <c r="E20" s="100">
        <f t="shared" si="0"/>
        <v>5.46</v>
      </c>
      <c r="F20" s="100">
        <f t="shared" si="1"/>
        <v>216632.27039999998</v>
      </c>
      <c r="G20" s="102" t="e">
        <f t="shared" si="2"/>
        <v>#DIV/0!</v>
      </c>
      <c r="H20" s="82">
        <f t="shared" si="3"/>
        <v>0</v>
      </c>
      <c r="I20" s="128">
        <v>0</v>
      </c>
      <c r="J20" s="128">
        <v>0</v>
      </c>
      <c r="K20" s="128">
        <f>T24/T25</f>
        <v>3.9000000000000004</v>
      </c>
      <c r="L20" s="82">
        <f t="shared" si="4"/>
        <v>3.9000000000000004</v>
      </c>
      <c r="M20" s="82">
        <f t="shared" si="5"/>
        <v>5.46</v>
      </c>
      <c r="O20" s="88" t="s">
        <v>209</v>
      </c>
      <c r="P20" s="82">
        <f>19000+3000</f>
        <v>22000</v>
      </c>
      <c r="Q20" s="82">
        <f>6*7*6.5*$Q$16</f>
        <v>6006</v>
      </c>
      <c r="R20" s="82">
        <f>(25+10)*$R$16</f>
        <v>770</v>
      </c>
      <c r="S20" s="82">
        <v>1</v>
      </c>
      <c r="T20" s="82">
        <f t="shared" si="6"/>
        <v>28776</v>
      </c>
    </row>
    <row r="21" spans="1:20" x14ac:dyDescent="0.25">
      <c r="A21" s="98" t="s">
        <v>210</v>
      </c>
      <c r="B21" s="99" t="s">
        <v>211</v>
      </c>
      <c r="C21" s="100" t="s">
        <v>203</v>
      </c>
      <c r="D21" s="101">
        <v>13592.94</v>
      </c>
      <c r="E21" s="100">
        <f t="shared" si="0"/>
        <v>13.673121212121213</v>
      </c>
      <c r="F21" s="100">
        <f t="shared" si="1"/>
        <v>185857.91624909092</v>
      </c>
      <c r="G21" s="102" t="e">
        <f t="shared" si="2"/>
        <v>#DIV/0!</v>
      </c>
      <c r="H21" s="82">
        <f t="shared" si="3"/>
        <v>0</v>
      </c>
      <c r="I21" s="128">
        <v>0</v>
      </c>
      <c r="J21" s="128">
        <v>0</v>
      </c>
      <c r="K21" s="128">
        <f>(T18+T19+T20+T21)/R16/600</f>
        <v>9.7665151515151525</v>
      </c>
      <c r="L21" s="82">
        <f t="shared" si="4"/>
        <v>9.7665151515151525</v>
      </c>
      <c r="M21" s="82">
        <f t="shared" si="5"/>
        <v>13.673121212121213</v>
      </c>
      <c r="O21" s="88" t="s">
        <v>212</v>
      </c>
      <c r="P21" s="82">
        <f>300*3*2</f>
        <v>1800</v>
      </c>
      <c r="Q21" s="82">
        <v>0</v>
      </c>
      <c r="R21" s="82">
        <v>0</v>
      </c>
      <c r="T21" s="82">
        <f>SUM(P21:R21)</f>
        <v>1800</v>
      </c>
    </row>
    <row r="22" spans="1:20" x14ac:dyDescent="0.25">
      <c r="A22" s="98" t="s">
        <v>213</v>
      </c>
      <c r="B22" s="99" t="s">
        <v>214</v>
      </c>
      <c r="C22" s="100" t="s">
        <v>203</v>
      </c>
      <c r="D22" s="101">
        <f>(D19-D21)+D18</f>
        <v>40192.051999999996</v>
      </c>
      <c r="E22" s="100">
        <f t="shared" si="0"/>
        <v>2.3750151515151514</v>
      </c>
      <c r="F22" s="100">
        <f t="shared" si="1"/>
        <v>95456.732470484829</v>
      </c>
      <c r="G22" s="102" t="e">
        <f t="shared" si="2"/>
        <v>#DIV/0!</v>
      </c>
      <c r="H22" s="82">
        <f t="shared" si="3"/>
        <v>0</v>
      </c>
      <c r="I22" s="128">
        <v>0</v>
      </c>
      <c r="J22" s="128">
        <v>0</v>
      </c>
      <c r="K22" s="128">
        <f>T17/R16/600/2</f>
        <v>1.696439393939394</v>
      </c>
      <c r="L22" s="82">
        <f t="shared" si="4"/>
        <v>1.696439393939394</v>
      </c>
      <c r="M22" s="82">
        <f t="shared" si="5"/>
        <v>2.3750151515151514</v>
      </c>
      <c r="T22" s="82">
        <f ca="1">SUM(T18:T23)/R16</f>
        <v>6138.9523809523807</v>
      </c>
    </row>
    <row r="23" spans="1:20" x14ac:dyDescent="0.25">
      <c r="A23" s="98"/>
      <c r="B23" s="99" t="s">
        <v>215</v>
      </c>
      <c r="C23" s="100"/>
      <c r="D23" s="100"/>
      <c r="E23" s="100"/>
      <c r="F23" s="100">
        <f>SUM(F16:F22)</f>
        <v>941713.11681250494</v>
      </c>
      <c r="I23" s="128"/>
      <c r="J23" s="128"/>
      <c r="K23" s="128"/>
    </row>
    <row r="24" spans="1:20" x14ac:dyDescent="0.25">
      <c r="A24" s="98"/>
      <c r="B24" s="99"/>
      <c r="C24" s="100"/>
      <c r="D24" s="100"/>
      <c r="E24" s="103"/>
      <c r="F24" s="100"/>
      <c r="I24" s="128"/>
      <c r="J24" s="128"/>
      <c r="K24" s="128"/>
      <c r="M24" s="83"/>
      <c r="O24" s="82" t="s">
        <v>216</v>
      </c>
      <c r="P24" s="82">
        <f>900</f>
        <v>900</v>
      </c>
      <c r="Q24" s="82">
        <f>30*2/1*6.5</f>
        <v>390</v>
      </c>
      <c r="R24" s="82">
        <f>((25+10)*$R$16)/R16</f>
        <v>35</v>
      </c>
      <c r="S24" s="82">
        <v>1</v>
      </c>
      <c r="T24" s="82">
        <f t="shared" si="6"/>
        <v>1325</v>
      </c>
    </row>
    <row r="25" spans="1:20" x14ac:dyDescent="0.25">
      <c r="A25" s="98">
        <v>2</v>
      </c>
      <c r="B25" s="99" t="s">
        <v>217</v>
      </c>
      <c r="C25" s="100"/>
      <c r="D25" s="100"/>
      <c r="E25" s="100"/>
      <c r="F25" s="100"/>
      <c r="I25" s="128"/>
      <c r="J25" s="128"/>
      <c r="K25" s="128"/>
      <c r="T25" s="82">
        <f>T24/30*10/1.3</f>
        <v>339.74358974358972</v>
      </c>
    </row>
    <row r="26" spans="1:20" x14ac:dyDescent="0.25">
      <c r="A26" s="98" t="s">
        <v>16</v>
      </c>
      <c r="B26" s="99" t="s">
        <v>218</v>
      </c>
      <c r="C26" s="100" t="s">
        <v>203</v>
      </c>
      <c r="D26" s="100">
        <f>G10*0.15</f>
        <v>6445.0424999999996</v>
      </c>
      <c r="E26" s="100">
        <f t="shared" ref="E26:E33" si="7">M26</f>
        <v>30.196891666666662</v>
      </c>
      <c r="F26" s="100">
        <f t="shared" ref="F26:F33" si="8">E26*D26</f>
        <v>194620.25015956245</v>
      </c>
      <c r="G26" s="102" t="e">
        <f t="shared" ref="G26:G33" si="9">F26/$F$119</f>
        <v>#DIV/0!</v>
      </c>
      <c r="H26" s="82">
        <f t="shared" ref="H26:H33" si="10">I26*D26</f>
        <v>0</v>
      </c>
      <c r="I26" s="128">
        <v>0</v>
      </c>
      <c r="J26" s="128">
        <v>0</v>
      </c>
      <c r="K26" s="128">
        <f>(K19+K19/2+K20+K21)*1.15</f>
        <v>21.569208333333332</v>
      </c>
      <c r="L26" s="82">
        <f t="shared" ref="L26:L33" si="11">SUM(I26:K26)</f>
        <v>21.569208333333332</v>
      </c>
      <c r="M26" s="82">
        <f t="shared" ref="M26:M33" si="12">L26*$J$11</f>
        <v>30.196891666666662</v>
      </c>
    </row>
    <row r="27" spans="1:20" x14ac:dyDescent="0.25">
      <c r="A27" s="98" t="s">
        <v>106</v>
      </c>
      <c r="B27" s="99" t="s">
        <v>218</v>
      </c>
      <c r="C27" s="100" t="s">
        <v>203</v>
      </c>
      <c r="D27" s="100">
        <f>G9*0.1</f>
        <v>4296.6949999999997</v>
      </c>
      <c r="E27" s="100">
        <f t="shared" si="7"/>
        <v>30.196891666666662</v>
      </c>
      <c r="F27" s="100">
        <f t="shared" si="8"/>
        <v>129746.83343970831</v>
      </c>
      <c r="G27" s="102" t="e">
        <f t="shared" si="9"/>
        <v>#DIV/0!</v>
      </c>
      <c r="H27" s="82">
        <f t="shared" si="10"/>
        <v>0</v>
      </c>
      <c r="I27" s="128">
        <v>0</v>
      </c>
      <c r="J27" s="128">
        <v>0</v>
      </c>
      <c r="K27" s="128">
        <f>K26</f>
        <v>21.569208333333332</v>
      </c>
      <c r="L27" s="82">
        <f t="shared" si="11"/>
        <v>21.569208333333332</v>
      </c>
      <c r="M27" s="82">
        <f t="shared" si="12"/>
        <v>30.196891666666662</v>
      </c>
      <c r="N27" s="82">
        <f>M27*0.1</f>
        <v>3.0196891666666663</v>
      </c>
    </row>
    <row r="28" spans="1:20" x14ac:dyDescent="0.25">
      <c r="A28" s="98" t="s">
        <v>107</v>
      </c>
      <c r="B28" s="99" t="s">
        <v>219</v>
      </c>
      <c r="C28" s="100" t="s">
        <v>203</v>
      </c>
      <c r="D28" s="100">
        <f>G9*0.1</f>
        <v>4296.6949999999997</v>
      </c>
      <c r="E28" s="100">
        <f t="shared" si="7"/>
        <v>223.26086363636361</v>
      </c>
      <c r="F28" s="100">
        <f t="shared" si="8"/>
        <v>959283.83648204524</v>
      </c>
      <c r="G28" s="102" t="e">
        <f t="shared" si="9"/>
        <v>#DIV/0!</v>
      </c>
      <c r="H28" s="82">
        <f t="shared" si="10"/>
        <v>283581.87</v>
      </c>
      <c r="I28" s="128">
        <f>33*2</f>
        <v>66</v>
      </c>
      <c r="J28" s="128">
        <f>(T18+T19+T20+T17+T24*R16*3)/R16/400</f>
        <v>29.472045454545455</v>
      </c>
      <c r="K28" s="128">
        <f>(65-33)*2</f>
        <v>64</v>
      </c>
      <c r="L28" s="82">
        <f t="shared" si="11"/>
        <v>159.47204545454545</v>
      </c>
      <c r="M28" s="82">
        <f t="shared" si="12"/>
        <v>223.26086363636361</v>
      </c>
      <c r="T28" s="82">
        <f>10*(180+35)</f>
        <v>2150</v>
      </c>
    </row>
    <row r="29" spans="1:20" hidden="1" x14ac:dyDescent="0.25">
      <c r="A29" s="98" t="s">
        <v>220</v>
      </c>
      <c r="B29" s="99" t="s">
        <v>221</v>
      </c>
      <c r="C29" s="100" t="s">
        <v>98</v>
      </c>
      <c r="D29" s="100">
        <v>0</v>
      </c>
      <c r="E29" s="100">
        <f t="shared" si="7"/>
        <v>11.459</v>
      </c>
      <c r="F29" s="100">
        <f t="shared" si="8"/>
        <v>0</v>
      </c>
      <c r="G29" s="102" t="e">
        <f t="shared" si="9"/>
        <v>#DIV/0!</v>
      </c>
      <c r="H29" s="82">
        <f t="shared" si="10"/>
        <v>0</v>
      </c>
      <c r="I29" s="128">
        <f>(4800/1000*0.5)*1</f>
        <v>2.4</v>
      </c>
      <c r="J29" s="128">
        <v>0.3</v>
      </c>
      <c r="K29" s="128">
        <f>T35/5000</f>
        <v>5.4850000000000003</v>
      </c>
      <c r="L29" s="82">
        <f t="shared" si="11"/>
        <v>8.1850000000000005</v>
      </c>
      <c r="M29" s="82">
        <f t="shared" si="12"/>
        <v>11.459</v>
      </c>
      <c r="O29" s="88" t="s">
        <v>222</v>
      </c>
      <c r="P29" s="82">
        <v>2000</v>
      </c>
      <c r="Q29" s="82">
        <v>200</v>
      </c>
      <c r="R29" s="82">
        <f t="shared" ref="R29:R34" si="13">25+10</f>
        <v>35</v>
      </c>
      <c r="S29" s="82">
        <f>7*14*6.5</f>
        <v>637</v>
      </c>
      <c r="T29" s="82">
        <f t="shared" ref="T29:T34" si="14">SUM(P29:S29)</f>
        <v>2872</v>
      </c>
    </row>
    <row r="30" spans="1:20" x14ac:dyDescent="0.25">
      <c r="A30" s="98" t="s">
        <v>223</v>
      </c>
      <c r="B30" s="99" t="s">
        <v>224</v>
      </c>
      <c r="C30" s="100" t="s">
        <v>98</v>
      </c>
      <c r="D30" s="100">
        <f>G10</f>
        <v>42966.95</v>
      </c>
      <c r="E30" s="100">
        <f t="shared" si="7"/>
        <v>4.1290454545454542</v>
      </c>
      <c r="F30" s="100">
        <f t="shared" si="8"/>
        <v>177412.48959318179</v>
      </c>
      <c r="G30" s="102" t="e">
        <f t="shared" si="9"/>
        <v>#DIV/0!</v>
      </c>
      <c r="H30" s="82">
        <f t="shared" si="10"/>
        <v>103120.68</v>
      </c>
      <c r="I30" s="128">
        <f>(4800/1000*0.5)*1</f>
        <v>2.4</v>
      </c>
      <c r="J30" s="128">
        <v>0.3</v>
      </c>
      <c r="K30" s="128">
        <f>T36/5000</f>
        <v>0.2493181818181818</v>
      </c>
      <c r="L30" s="82">
        <f t="shared" si="11"/>
        <v>2.9493181818181817</v>
      </c>
      <c r="M30" s="82">
        <f t="shared" si="12"/>
        <v>4.1290454545454542</v>
      </c>
      <c r="O30" s="88" t="s">
        <v>222</v>
      </c>
      <c r="P30" s="82">
        <v>2000</v>
      </c>
      <c r="Q30" s="82">
        <v>200</v>
      </c>
      <c r="R30" s="82">
        <f t="shared" si="13"/>
        <v>35</v>
      </c>
      <c r="S30" s="82">
        <f>7*14*6.5</f>
        <v>637</v>
      </c>
      <c r="T30" s="82">
        <f t="shared" si="14"/>
        <v>2872</v>
      </c>
    </row>
    <row r="31" spans="1:20" x14ac:dyDescent="0.25">
      <c r="A31" s="98" t="s">
        <v>225</v>
      </c>
      <c r="B31" s="99" t="s">
        <v>226</v>
      </c>
      <c r="C31" s="100" t="s">
        <v>203</v>
      </c>
      <c r="D31" s="100">
        <f>G9*0.03</f>
        <v>1289.0084999999999</v>
      </c>
      <c r="E31" s="100">
        <f t="shared" si="7"/>
        <v>1606.752</v>
      </c>
      <c r="F31" s="100">
        <f t="shared" si="8"/>
        <v>2071116.9853919998</v>
      </c>
      <c r="G31" s="102" t="e">
        <f t="shared" si="9"/>
        <v>#DIV/0!</v>
      </c>
      <c r="H31" s="82">
        <f t="shared" si="10"/>
        <v>1191662.5780799999</v>
      </c>
      <c r="I31" s="128">
        <f>(150+4800*0.049)*2.4</f>
        <v>924.48</v>
      </c>
      <c r="J31" s="128">
        <f>(12500/400)*2.4</f>
        <v>75</v>
      </c>
      <c r="K31" s="128">
        <f>65*0.95*2.4</f>
        <v>148.19999999999999</v>
      </c>
      <c r="L31" s="82">
        <f t="shared" si="11"/>
        <v>1147.68</v>
      </c>
      <c r="M31" s="82">
        <f t="shared" si="12"/>
        <v>1606.752</v>
      </c>
      <c r="N31" s="82">
        <f>M31*0.03</f>
        <v>48.202559999999998</v>
      </c>
      <c r="O31" s="88" t="s">
        <v>227</v>
      </c>
      <c r="P31" s="82">
        <v>1200</v>
      </c>
      <c r="Q31" s="82">
        <v>150</v>
      </c>
      <c r="R31" s="82">
        <f t="shared" si="13"/>
        <v>35</v>
      </c>
      <c r="S31" s="82">
        <f>7*7*6.5</f>
        <v>318.5</v>
      </c>
      <c r="T31" s="82">
        <f t="shared" si="14"/>
        <v>1703.5</v>
      </c>
    </row>
    <row r="32" spans="1:20" x14ac:dyDescent="0.25">
      <c r="A32" s="98" t="s">
        <v>228</v>
      </c>
      <c r="B32" s="99" t="s">
        <v>229</v>
      </c>
      <c r="C32" s="100" t="s">
        <v>230</v>
      </c>
      <c r="D32" s="100">
        <v>8679.58</v>
      </c>
      <c r="E32" s="100">
        <f t="shared" si="7"/>
        <v>76.386418181818172</v>
      </c>
      <c r="F32" s="100">
        <f t="shared" si="8"/>
        <v>663002.02752254531</v>
      </c>
      <c r="G32" s="102" t="e">
        <f t="shared" si="9"/>
        <v>#DIV/0!</v>
      </c>
      <c r="H32" s="82">
        <f t="shared" si="10"/>
        <v>347408.86907999997</v>
      </c>
      <c r="I32" s="128">
        <f>0.0953*420</f>
        <v>40.025999999999996</v>
      </c>
      <c r="J32" s="128">
        <v>12.5</v>
      </c>
      <c r="K32" s="128">
        <f>T18/R16/1000</f>
        <v>2.0357272727272728</v>
      </c>
      <c r="L32" s="82">
        <f t="shared" si="11"/>
        <v>54.561727272727268</v>
      </c>
      <c r="M32" s="82">
        <f t="shared" si="12"/>
        <v>76.386418181818172</v>
      </c>
      <c r="O32" s="88" t="s">
        <v>231</v>
      </c>
      <c r="P32" s="82">
        <v>1200</v>
      </c>
      <c r="Q32" s="82">
        <v>150</v>
      </c>
      <c r="R32" s="82">
        <f t="shared" si="13"/>
        <v>35</v>
      </c>
      <c r="S32" s="82">
        <f>7*8*6.5</f>
        <v>364</v>
      </c>
      <c r="T32" s="82">
        <f t="shared" si="14"/>
        <v>1749</v>
      </c>
    </row>
    <row r="33" spans="1:22" hidden="1" x14ac:dyDescent="0.25">
      <c r="A33" s="98" t="s">
        <v>232</v>
      </c>
      <c r="B33" s="99" t="s">
        <v>233</v>
      </c>
      <c r="C33" s="100" t="s">
        <v>230</v>
      </c>
      <c r="D33" s="100">
        <v>0</v>
      </c>
      <c r="E33" s="100">
        <f t="shared" si="7"/>
        <v>90.263218181818175</v>
      </c>
      <c r="F33" s="100">
        <f t="shared" si="8"/>
        <v>0</v>
      </c>
      <c r="G33" s="102" t="e">
        <f t="shared" si="9"/>
        <v>#DIV/0!</v>
      </c>
      <c r="H33" s="82">
        <f t="shared" si="10"/>
        <v>0</v>
      </c>
      <c r="I33" s="128">
        <f>0.1189*420</f>
        <v>49.938000000000002</v>
      </c>
      <c r="J33" s="128">
        <v>12.5</v>
      </c>
      <c r="K33" s="128">
        <f>T18/R16/1000</f>
        <v>2.0357272727272728</v>
      </c>
      <c r="L33" s="82">
        <f t="shared" si="11"/>
        <v>64.473727272727274</v>
      </c>
      <c r="M33" s="82">
        <f t="shared" si="12"/>
        <v>90.263218181818175</v>
      </c>
      <c r="O33" s="88" t="s">
        <v>231</v>
      </c>
      <c r="P33" s="82">
        <v>1200</v>
      </c>
      <c r="Q33" s="82">
        <v>150</v>
      </c>
      <c r="R33" s="82">
        <f t="shared" si="13"/>
        <v>35</v>
      </c>
      <c r="S33" s="82">
        <f>7*8*6.5</f>
        <v>364</v>
      </c>
      <c r="T33" s="82">
        <f t="shared" si="14"/>
        <v>1749</v>
      </c>
    </row>
    <row r="34" spans="1:22" x14ac:dyDescent="0.25">
      <c r="A34" s="98"/>
      <c r="B34" s="99" t="s">
        <v>215</v>
      </c>
      <c r="C34" s="100"/>
      <c r="D34" s="100"/>
      <c r="E34" s="100"/>
      <c r="F34" s="100">
        <f>SUM(F26:F33)</f>
        <v>4195182.4225890432</v>
      </c>
      <c r="I34" s="128"/>
      <c r="J34" s="128"/>
      <c r="K34" s="128"/>
      <c r="O34" s="88" t="s">
        <v>234</v>
      </c>
      <c r="P34" s="82">
        <v>2000</v>
      </c>
      <c r="Q34" s="82">
        <v>150</v>
      </c>
      <c r="R34" s="82">
        <f t="shared" si="13"/>
        <v>35</v>
      </c>
      <c r="S34" s="82">
        <f>7*10*6.5</f>
        <v>455</v>
      </c>
      <c r="T34" s="82">
        <f t="shared" si="14"/>
        <v>2640</v>
      </c>
    </row>
    <row r="35" spans="1:22" x14ac:dyDescent="0.25">
      <c r="A35" s="98"/>
      <c r="B35" s="99"/>
      <c r="C35" s="100"/>
      <c r="D35" s="100"/>
      <c r="E35" s="100"/>
      <c r="F35" s="100"/>
      <c r="I35" s="128"/>
      <c r="J35" s="128"/>
      <c r="K35" s="128"/>
      <c r="O35" s="88" t="s">
        <v>235</v>
      </c>
      <c r="P35" s="82">
        <f>24000+3000</f>
        <v>27000</v>
      </c>
      <c r="Q35" s="82">
        <f>Q24</f>
        <v>390</v>
      </c>
      <c r="R35" s="82">
        <f>R24</f>
        <v>35</v>
      </c>
      <c r="S35" s="82">
        <v>1</v>
      </c>
      <c r="T35" s="82">
        <f>SUM(P35:R35)*S35</f>
        <v>27425</v>
      </c>
    </row>
    <row r="36" spans="1:22" x14ac:dyDescent="0.25">
      <c r="A36" s="98">
        <v>3</v>
      </c>
      <c r="B36" s="99" t="s">
        <v>236</v>
      </c>
      <c r="C36" s="100"/>
      <c r="D36" s="100"/>
      <c r="E36" s="100"/>
      <c r="F36" s="100"/>
      <c r="I36" s="128"/>
      <c r="J36" s="128"/>
      <c r="K36" s="128"/>
      <c r="O36" s="88"/>
      <c r="T36" s="82">
        <f>T35/R16</f>
        <v>1246.590909090909</v>
      </c>
    </row>
    <row r="37" spans="1:22" x14ac:dyDescent="0.25">
      <c r="A37" s="98" t="s">
        <v>34</v>
      </c>
      <c r="B37" s="99" t="s">
        <v>237</v>
      </c>
      <c r="C37" s="100" t="s">
        <v>230</v>
      </c>
      <c r="D37" s="101">
        <v>368</v>
      </c>
      <c r="E37" s="100">
        <f t="shared" ref="E37:E45" si="15">M37</f>
        <v>215.34545454545452</v>
      </c>
      <c r="F37" s="100">
        <f t="shared" ref="F37:F45" si="16">E37*D37</f>
        <v>79247.127272727259</v>
      </c>
      <c r="G37" s="102" t="e">
        <f t="shared" ref="G37:G45" si="17">F37/$F$119</f>
        <v>#DIV/0!</v>
      </c>
      <c r="H37" s="82">
        <f t="shared" ref="H37:H45" si="18">I37*D37</f>
        <v>33120</v>
      </c>
      <c r="I37" s="128">
        <v>90</v>
      </c>
      <c r="J37" s="128">
        <f>T41/60</f>
        <v>29.889393939393937</v>
      </c>
      <c r="K37" s="128">
        <f>$T$17/$R$16/60</f>
        <v>33.92878787878788</v>
      </c>
      <c r="L37" s="82">
        <f>SUM(I37:K37)</f>
        <v>153.81818181818181</v>
      </c>
      <c r="M37" s="82">
        <f t="shared" ref="M37:M45" si="19">L37*$J$11</f>
        <v>215.34545454545452</v>
      </c>
      <c r="N37" s="83"/>
      <c r="O37" s="88" t="s">
        <v>238</v>
      </c>
      <c r="P37" s="82">
        <v>7000</v>
      </c>
      <c r="Q37" s="82">
        <f>P37*1.7</f>
        <v>11900</v>
      </c>
      <c r="R37" s="82">
        <f>25+10</f>
        <v>35</v>
      </c>
      <c r="S37" s="82">
        <v>1</v>
      </c>
      <c r="T37" s="82">
        <f>(Q37+(R37*$Q$16))*S37</f>
        <v>12670</v>
      </c>
    </row>
    <row r="38" spans="1:22" x14ac:dyDescent="0.25">
      <c r="A38" s="98" t="s">
        <v>239</v>
      </c>
      <c r="B38" s="99" t="s">
        <v>240</v>
      </c>
      <c r="C38" s="100" t="s">
        <v>230</v>
      </c>
      <c r="D38" s="101">
        <v>1355</v>
      </c>
      <c r="E38" s="100">
        <f t="shared" si="15"/>
        <v>308.81454545454545</v>
      </c>
      <c r="F38" s="100">
        <f t="shared" si="16"/>
        <v>418443.70909090911</v>
      </c>
      <c r="G38" s="102" t="e">
        <f t="shared" si="17"/>
        <v>#DIV/0!</v>
      </c>
      <c r="H38" s="82">
        <f t="shared" si="18"/>
        <v>195120</v>
      </c>
      <c r="I38" s="128">
        <v>144</v>
      </c>
      <c r="J38" s="128">
        <f>T41/50</f>
        <v>35.867272727272727</v>
      </c>
      <c r="K38" s="128">
        <f>$T$17/$R$16/50</f>
        <v>40.714545454545458</v>
      </c>
      <c r="L38" s="82">
        <f>SUM(I38:K38)</f>
        <v>220.58181818181819</v>
      </c>
      <c r="M38" s="82">
        <f t="shared" si="19"/>
        <v>308.81454545454545</v>
      </c>
      <c r="O38" s="88" t="s">
        <v>241</v>
      </c>
      <c r="P38" s="82">
        <v>3500</v>
      </c>
      <c r="Q38" s="82">
        <f>P38*1.7</f>
        <v>5950</v>
      </c>
      <c r="R38" s="82">
        <f>25+10</f>
        <v>35</v>
      </c>
      <c r="S38" s="82">
        <v>2</v>
      </c>
      <c r="T38" s="82">
        <f>(Q38+(R38*$Q$16))*S38</f>
        <v>13440</v>
      </c>
    </row>
    <row r="39" spans="1:22" x14ac:dyDescent="0.25">
      <c r="A39" s="98" t="s">
        <v>242</v>
      </c>
      <c r="B39" s="99" t="s">
        <v>243</v>
      </c>
      <c r="C39" s="100" t="s">
        <v>230</v>
      </c>
      <c r="D39" s="101">
        <v>183</v>
      </c>
      <c r="E39" s="100">
        <f t="shared" si="15"/>
        <v>551.21818181818173</v>
      </c>
      <c r="F39" s="100">
        <f t="shared" si="16"/>
        <v>100872.92727272726</v>
      </c>
      <c r="G39" s="102" t="e">
        <f t="shared" si="17"/>
        <v>#DIV/0!</v>
      </c>
      <c r="H39" s="82">
        <f t="shared" si="18"/>
        <v>54534</v>
      </c>
      <c r="I39" s="128">
        <v>298</v>
      </c>
      <c r="J39" s="128">
        <f>T41/40</f>
        <v>44.834090909090904</v>
      </c>
      <c r="K39" s="128">
        <f>$T$17/$R$16/40</f>
        <v>50.893181818181816</v>
      </c>
      <c r="L39" s="82">
        <f t="shared" ref="L39:L99" si="20">SUM(I39:K39)</f>
        <v>393.72727272727269</v>
      </c>
      <c r="M39" s="82">
        <f t="shared" si="19"/>
        <v>551.21818181818173</v>
      </c>
      <c r="O39" s="88" t="s">
        <v>244</v>
      </c>
      <c r="P39" s="82">
        <v>2400</v>
      </c>
      <c r="Q39" s="82">
        <f>P39*1.7</f>
        <v>4080</v>
      </c>
      <c r="R39" s="82">
        <f>25+10</f>
        <v>35</v>
      </c>
      <c r="S39" s="82">
        <v>2</v>
      </c>
      <c r="T39" s="82">
        <f>(Q39+(R39*$Q$16))*S39</f>
        <v>9700</v>
      </c>
    </row>
    <row r="40" spans="1:22" x14ac:dyDescent="0.25">
      <c r="A40" s="98" t="s">
        <v>245</v>
      </c>
      <c r="B40" s="99" t="s">
        <v>246</v>
      </c>
      <c r="C40" s="100" t="s">
        <v>230</v>
      </c>
      <c r="D40" s="101">
        <v>184</v>
      </c>
      <c r="E40" s="100">
        <f t="shared" si="15"/>
        <v>843.69090909090903</v>
      </c>
      <c r="F40" s="100">
        <f t="shared" si="16"/>
        <v>155239.12727272726</v>
      </c>
      <c r="G40" s="102" t="e">
        <f t="shared" si="17"/>
        <v>#DIV/0!</v>
      </c>
      <c r="H40" s="82">
        <f t="shared" si="18"/>
        <v>87400</v>
      </c>
      <c r="I40" s="128">
        <v>475</v>
      </c>
      <c r="J40" s="128">
        <f>T41/30</f>
        <v>59.778787878787874</v>
      </c>
      <c r="K40" s="128">
        <f>$T$17/$R$16/30</f>
        <v>67.857575757575759</v>
      </c>
      <c r="L40" s="82">
        <f t="shared" si="20"/>
        <v>602.63636363636363</v>
      </c>
      <c r="M40" s="82">
        <f t="shared" si="19"/>
        <v>843.69090909090903</v>
      </c>
      <c r="O40" s="88" t="s">
        <v>247</v>
      </c>
      <c r="P40" s="82">
        <v>2500</v>
      </c>
      <c r="R40" s="82">
        <f>80/10*6.5</f>
        <v>52</v>
      </c>
      <c r="S40" s="82">
        <v>1</v>
      </c>
      <c r="T40" s="82">
        <f>(P40+(R40*$Q$16))*S40</f>
        <v>3644</v>
      </c>
    </row>
    <row r="41" spans="1:22" x14ac:dyDescent="0.25">
      <c r="A41" s="98" t="s">
        <v>248</v>
      </c>
      <c r="B41" s="99" t="s">
        <v>249</v>
      </c>
      <c r="C41" s="100" t="s">
        <v>250</v>
      </c>
      <c r="D41" s="101">
        <v>53</v>
      </c>
      <c r="E41" s="100">
        <f t="shared" si="15"/>
        <v>4163.8989199668749</v>
      </c>
      <c r="F41" s="100">
        <f t="shared" si="16"/>
        <v>220686.64275824436</v>
      </c>
      <c r="G41" s="102" t="e">
        <f t="shared" si="17"/>
        <v>#DIV/0!</v>
      </c>
      <c r="H41" s="82">
        <f t="shared" si="18"/>
        <v>118833.99291497977</v>
      </c>
      <c r="I41" s="128">
        <f>(P43+P45+P46+P47+P48+P49)</f>
        <v>2242.1508097165993</v>
      </c>
      <c r="J41" s="128">
        <f>P50</f>
        <v>700</v>
      </c>
      <c r="K41" s="128">
        <f>P42</f>
        <v>32.062704545454544</v>
      </c>
      <c r="L41" s="82">
        <f t="shared" si="20"/>
        <v>2974.2135142620536</v>
      </c>
      <c r="M41" s="82">
        <f t="shared" si="19"/>
        <v>4163.8989199668749</v>
      </c>
      <c r="O41" s="88"/>
      <c r="T41" s="82">
        <f>SUM(T37:T40)/R16</f>
        <v>1793.3636363636363</v>
      </c>
    </row>
    <row r="42" spans="1:22" x14ac:dyDescent="0.25">
      <c r="A42" s="98" t="s">
        <v>251</v>
      </c>
      <c r="B42" s="99" t="s">
        <v>252</v>
      </c>
      <c r="C42" s="100" t="s">
        <v>250</v>
      </c>
      <c r="D42" s="101">
        <v>10</v>
      </c>
      <c r="E42" s="100">
        <f t="shared" si="15"/>
        <v>2417.3344052754264</v>
      </c>
      <c r="F42" s="100">
        <f t="shared" si="16"/>
        <v>24173.344052754263</v>
      </c>
      <c r="G42" s="102" t="e">
        <f t="shared" si="17"/>
        <v>#DIV/0!</v>
      </c>
      <c r="H42" s="82">
        <f t="shared" si="18"/>
        <v>12124.173414304994</v>
      </c>
      <c r="I42" s="128">
        <f>(S45+S46+S47+S48+S49)</f>
        <v>1212.4173414304994</v>
      </c>
      <c r="J42" s="128">
        <f>S50</f>
        <v>500</v>
      </c>
      <c r="K42" s="128">
        <f>S43</f>
        <v>14.250090909090908</v>
      </c>
      <c r="L42" s="82">
        <f t="shared" si="20"/>
        <v>1726.6674323395903</v>
      </c>
      <c r="M42" s="82">
        <f t="shared" si="19"/>
        <v>2417.3344052754264</v>
      </c>
      <c r="O42" s="88" t="s">
        <v>253</v>
      </c>
      <c r="P42" s="82">
        <f>1.5*1.5*1.5*(E19*2)</f>
        <v>32.062704545454544</v>
      </c>
    </row>
    <row r="43" spans="1:22" x14ac:dyDescent="0.25">
      <c r="A43" s="98" t="s">
        <v>254</v>
      </c>
      <c r="B43" s="99" t="s">
        <v>255</v>
      </c>
      <c r="C43" s="100" t="s">
        <v>250</v>
      </c>
      <c r="D43" s="101">
        <v>55</v>
      </c>
      <c r="E43" s="100">
        <f t="shared" si="15"/>
        <v>4422.4150993497724</v>
      </c>
      <c r="F43" s="100">
        <f t="shared" si="16"/>
        <v>243232.83046423749</v>
      </c>
      <c r="G43" s="102" t="e">
        <f t="shared" si="17"/>
        <v>#DIV/0!</v>
      </c>
      <c r="H43" s="82">
        <f t="shared" si="18"/>
        <v>128170.22604588394</v>
      </c>
      <c r="I43" s="128">
        <f>(V45+V46+V47+V48+V49)</f>
        <v>2330.367746288799</v>
      </c>
      <c r="J43" s="128">
        <f>V50</f>
        <v>800</v>
      </c>
      <c r="K43" s="128">
        <f>V43</f>
        <v>28.500181818181815</v>
      </c>
      <c r="L43" s="82">
        <f t="shared" si="20"/>
        <v>3158.8679281069808</v>
      </c>
      <c r="M43" s="82">
        <f t="shared" si="19"/>
        <v>4422.4150993497724</v>
      </c>
      <c r="O43" s="88" t="s">
        <v>256</v>
      </c>
      <c r="P43" s="82">
        <f>1.5*1.5*0.1*460+40*8</f>
        <v>423.5</v>
      </c>
      <c r="R43" s="88" t="s">
        <v>253</v>
      </c>
      <c r="S43" s="82">
        <f>1.5*1*1*E19*2</f>
        <v>14.250090909090908</v>
      </c>
      <c r="U43" s="88" t="s">
        <v>253</v>
      </c>
      <c r="V43" s="82">
        <f>S43*2</f>
        <v>28.500181818181815</v>
      </c>
    </row>
    <row r="44" spans="1:22" x14ac:dyDescent="0.25">
      <c r="A44" s="98" t="s">
        <v>257</v>
      </c>
      <c r="B44" s="99" t="s">
        <v>258</v>
      </c>
      <c r="C44" s="100" t="s">
        <v>250</v>
      </c>
      <c r="D44" s="101">
        <v>2</v>
      </c>
      <c r="E44" s="100">
        <f t="shared" si="15"/>
        <v>8844.8301986995448</v>
      </c>
      <c r="F44" s="100">
        <f t="shared" si="16"/>
        <v>17689.66039739909</v>
      </c>
      <c r="G44" s="102" t="e">
        <f t="shared" si="17"/>
        <v>#DIV/0!</v>
      </c>
      <c r="H44" s="82">
        <f t="shared" si="18"/>
        <v>9321.4709851551961</v>
      </c>
      <c r="I44" s="128">
        <f>I43*2</f>
        <v>4660.7354925775981</v>
      </c>
      <c r="J44" s="128">
        <f>J43*2</f>
        <v>1600</v>
      </c>
      <c r="K44" s="128">
        <f>K43*2</f>
        <v>57.00036363636363</v>
      </c>
      <c r="L44" s="82">
        <f t="shared" si="20"/>
        <v>6317.7358562139616</v>
      </c>
      <c r="M44" s="82">
        <f t="shared" si="19"/>
        <v>8844.8301986995448</v>
      </c>
      <c r="O44" s="88" t="s">
        <v>256</v>
      </c>
      <c r="P44" s="82">
        <f>1.5*1.5*0.1*460+40*8</f>
        <v>423.5</v>
      </c>
      <c r="R44" s="88" t="s">
        <v>253</v>
      </c>
      <c r="S44" s="82">
        <f>1.5*1*1*E20*2</f>
        <v>16.38</v>
      </c>
      <c r="U44" s="88" t="s">
        <v>253</v>
      </c>
      <c r="V44" s="82">
        <f>S44*2</f>
        <v>32.76</v>
      </c>
    </row>
    <row r="45" spans="1:22" x14ac:dyDescent="0.25">
      <c r="A45" s="98" t="s">
        <v>259</v>
      </c>
      <c r="B45" s="99" t="s">
        <v>260</v>
      </c>
      <c r="C45" s="100" t="s">
        <v>250</v>
      </c>
      <c r="D45" s="101">
        <v>142</v>
      </c>
      <c r="E45" s="100">
        <f t="shared" si="15"/>
        <v>1092</v>
      </c>
      <c r="F45" s="100">
        <f t="shared" si="16"/>
        <v>155064</v>
      </c>
      <c r="G45" s="102" t="e">
        <f t="shared" si="17"/>
        <v>#DIV/0!</v>
      </c>
      <c r="H45" s="82">
        <f t="shared" si="18"/>
        <v>35500</v>
      </c>
      <c r="I45" s="128">
        <v>250</v>
      </c>
      <c r="J45" s="128">
        <v>480</v>
      </c>
      <c r="K45" s="128">
        <v>50</v>
      </c>
      <c r="L45" s="82">
        <f t="shared" si="20"/>
        <v>780</v>
      </c>
      <c r="M45" s="82">
        <f t="shared" si="19"/>
        <v>1092</v>
      </c>
      <c r="O45" s="88" t="s">
        <v>261</v>
      </c>
      <c r="P45" s="82">
        <f>(1.5*4*1)/(0.19*0.39)*3.5</f>
        <v>283.40080971659921</v>
      </c>
      <c r="R45" s="88" t="s">
        <v>256</v>
      </c>
      <c r="S45" s="82">
        <f>1.5*1*0.1*460+40*8</f>
        <v>389</v>
      </c>
      <c r="U45" s="88" t="s">
        <v>256</v>
      </c>
      <c r="V45" s="82">
        <f>S45*2</f>
        <v>778</v>
      </c>
    </row>
    <row r="46" spans="1:22" x14ac:dyDescent="0.25">
      <c r="A46" s="98"/>
      <c r="B46" s="99" t="s">
        <v>215</v>
      </c>
      <c r="C46" s="100"/>
      <c r="D46" s="103"/>
      <c r="E46" s="100"/>
      <c r="F46" s="100">
        <f>SUM(F37:F45)</f>
        <v>1414649.368581726</v>
      </c>
      <c r="I46" s="128"/>
      <c r="J46" s="128"/>
      <c r="K46" s="128"/>
      <c r="O46" s="88" t="s">
        <v>262</v>
      </c>
      <c r="P46" s="82">
        <f>(1.5*4*1)*12</f>
        <v>72</v>
      </c>
      <c r="R46" s="88" t="s">
        <v>261</v>
      </c>
      <c r="S46" s="82">
        <f>(1.5*2*1+1*2*1)/(0.19*0.39)*3.5</f>
        <v>236.16734143049933</v>
      </c>
      <c r="U46" s="88" t="s">
        <v>261</v>
      </c>
      <c r="V46" s="82">
        <f>(3*2*1+1*2*1)/(0.19*0.39)*3.5</f>
        <v>377.86774628879891</v>
      </c>
    </row>
    <row r="47" spans="1:22" x14ac:dyDescent="0.25">
      <c r="A47" s="98"/>
      <c r="B47" s="99"/>
      <c r="C47" s="100"/>
      <c r="D47" s="100"/>
      <c r="E47" s="100"/>
      <c r="F47" s="100"/>
      <c r="I47" s="128"/>
      <c r="J47" s="129"/>
      <c r="K47" s="128"/>
      <c r="O47" s="88" t="s">
        <v>263</v>
      </c>
      <c r="P47" s="82">
        <f>1.5*1.5*0.1*460*1.5+40*8</f>
        <v>475.25</v>
      </c>
      <c r="R47" s="88" t="s">
        <v>262</v>
      </c>
      <c r="S47" s="82">
        <f>(1.5*4*1)*12</f>
        <v>72</v>
      </c>
      <c r="U47" s="88" t="s">
        <v>262</v>
      </c>
      <c r="V47" s="82">
        <f>(3*4*1)*12</f>
        <v>144</v>
      </c>
    </row>
    <row r="48" spans="1:22" x14ac:dyDescent="0.25">
      <c r="A48" s="98">
        <v>4</v>
      </c>
      <c r="B48" s="99" t="s">
        <v>264</v>
      </c>
      <c r="C48" s="100"/>
      <c r="D48" s="100"/>
      <c r="E48" s="100"/>
      <c r="F48" s="100"/>
      <c r="I48" s="128"/>
      <c r="J48" s="128"/>
      <c r="K48" s="128"/>
      <c r="O48" s="88" t="s">
        <v>265</v>
      </c>
      <c r="P48" s="82">
        <v>300</v>
      </c>
      <c r="R48" s="88" t="s">
        <v>263</v>
      </c>
      <c r="S48" s="82">
        <f>1.5*1.5*0.1*460*1.5+40*8</f>
        <v>475.25</v>
      </c>
      <c r="U48" s="88" t="s">
        <v>263</v>
      </c>
      <c r="V48" s="82">
        <f>S48*2</f>
        <v>950.5</v>
      </c>
    </row>
    <row r="49" spans="1:22" x14ac:dyDescent="0.25">
      <c r="A49" s="98" t="s">
        <v>46</v>
      </c>
      <c r="B49" s="104" t="s">
        <v>266</v>
      </c>
      <c r="C49" s="105" t="s">
        <v>250</v>
      </c>
      <c r="D49" s="105">
        <v>1</v>
      </c>
      <c r="E49" s="105">
        <f t="shared" ref="E49:E91" si="21">M49</f>
        <v>8411.1999999999989</v>
      </c>
      <c r="F49" s="105">
        <f t="shared" ref="F49:F91" si="22">E49*D49</f>
        <v>8411.1999999999989</v>
      </c>
      <c r="G49" s="102" t="e">
        <f t="shared" ref="G49:G91" si="23">F49/$F$119</f>
        <v>#DIV/0!</v>
      </c>
      <c r="H49" s="82">
        <v>6800</v>
      </c>
      <c r="I49" s="128">
        <v>5198</v>
      </c>
      <c r="J49" s="128">
        <v>800</v>
      </c>
      <c r="K49" s="128">
        <v>10</v>
      </c>
      <c r="L49" s="82">
        <f t="shared" si="20"/>
        <v>6008</v>
      </c>
      <c r="M49" s="82">
        <f t="shared" ref="M49:M91" si="24">L49*$J$11</f>
        <v>8411.1999999999989</v>
      </c>
      <c r="O49" s="88" t="s">
        <v>263</v>
      </c>
      <c r="P49" s="82">
        <v>688</v>
      </c>
      <c r="R49" s="88" t="s">
        <v>267</v>
      </c>
      <c r="S49" s="82">
        <v>40</v>
      </c>
      <c r="U49" s="88" t="s">
        <v>267</v>
      </c>
      <c r="V49" s="82">
        <f>S49*2</f>
        <v>80</v>
      </c>
    </row>
    <row r="50" spans="1:22" ht="38.25" x14ac:dyDescent="0.25">
      <c r="A50" s="98" t="s">
        <v>89</v>
      </c>
      <c r="B50" s="104" t="s">
        <v>268</v>
      </c>
      <c r="C50" s="105" t="s">
        <v>250</v>
      </c>
      <c r="D50" s="105">
        <v>2</v>
      </c>
      <c r="E50" s="105">
        <f t="shared" si="21"/>
        <v>2194.038</v>
      </c>
      <c r="F50" s="105">
        <f t="shared" si="22"/>
        <v>4388.076</v>
      </c>
      <c r="G50" s="102" t="e">
        <f t="shared" si="23"/>
        <v>#DIV/0!</v>
      </c>
      <c r="H50" s="82">
        <f t="shared" ref="H50:H91" si="25">I50*D50</f>
        <v>3094.34</v>
      </c>
      <c r="I50" s="128">
        <v>1547.17</v>
      </c>
      <c r="J50" s="128">
        <v>10</v>
      </c>
      <c r="K50" s="128">
        <f>K49</f>
        <v>10</v>
      </c>
      <c r="L50" s="82">
        <f t="shared" si="20"/>
        <v>1567.17</v>
      </c>
      <c r="M50" s="82">
        <f t="shared" si="24"/>
        <v>2194.038</v>
      </c>
      <c r="O50" s="88" t="s">
        <v>195</v>
      </c>
      <c r="P50" s="82">
        <v>700</v>
      </c>
      <c r="R50" s="88" t="s">
        <v>195</v>
      </c>
      <c r="S50" s="82">
        <v>500</v>
      </c>
      <c r="U50" s="88" t="s">
        <v>195</v>
      </c>
      <c r="V50" s="82">
        <v>800</v>
      </c>
    </row>
    <row r="51" spans="1:22" ht="38.25" x14ac:dyDescent="0.25">
      <c r="A51" s="98" t="s">
        <v>269</v>
      </c>
      <c r="B51" s="104" t="s">
        <v>270</v>
      </c>
      <c r="C51" s="105" t="s">
        <v>250</v>
      </c>
      <c r="D51" s="105">
        <v>3</v>
      </c>
      <c r="E51" s="105">
        <f t="shared" si="21"/>
        <v>1268.1759999999999</v>
      </c>
      <c r="F51" s="105">
        <f t="shared" si="22"/>
        <v>3804.5279999999998</v>
      </c>
      <c r="G51" s="102" t="e">
        <f t="shared" si="23"/>
        <v>#DIV/0!</v>
      </c>
      <c r="H51" s="82">
        <f t="shared" si="25"/>
        <v>2657.52</v>
      </c>
      <c r="I51" s="128">
        <v>885.84</v>
      </c>
      <c r="J51" s="128">
        <v>10</v>
      </c>
      <c r="K51" s="128">
        <f t="shared" ref="K51:K85" si="26">K50</f>
        <v>10</v>
      </c>
      <c r="L51" s="82">
        <f t="shared" si="20"/>
        <v>905.84</v>
      </c>
      <c r="M51" s="82">
        <f t="shared" si="24"/>
        <v>1268.1759999999999</v>
      </c>
      <c r="O51" s="88"/>
      <c r="P51" s="82">
        <f>SUM(P42:P50)</f>
        <v>3397.7135142620536</v>
      </c>
    </row>
    <row r="52" spans="1:22" ht="38.25" x14ac:dyDescent="0.25">
      <c r="A52" s="98" t="s">
        <v>271</v>
      </c>
      <c r="B52" s="104" t="s">
        <v>272</v>
      </c>
      <c r="C52" s="105" t="s">
        <v>250</v>
      </c>
      <c r="D52" s="105">
        <v>6</v>
      </c>
      <c r="E52" s="105">
        <f t="shared" si="21"/>
        <v>957.2639999999999</v>
      </c>
      <c r="F52" s="105">
        <f t="shared" si="22"/>
        <v>5743.5839999999989</v>
      </c>
      <c r="G52" s="102" t="e">
        <f t="shared" si="23"/>
        <v>#DIV/0!</v>
      </c>
      <c r="H52" s="82">
        <f t="shared" si="25"/>
        <v>3982.56</v>
      </c>
      <c r="I52" s="128">
        <v>663.76</v>
      </c>
      <c r="J52" s="128">
        <v>10</v>
      </c>
      <c r="K52" s="128">
        <f t="shared" si="26"/>
        <v>10</v>
      </c>
      <c r="L52" s="82">
        <f t="shared" si="20"/>
        <v>683.76</v>
      </c>
      <c r="M52" s="82">
        <f t="shared" si="24"/>
        <v>957.2639999999999</v>
      </c>
      <c r="O52" s="88"/>
      <c r="R52" s="88"/>
      <c r="S52" s="82">
        <f>SUM(S43:S50)</f>
        <v>1743.0474323395902</v>
      </c>
    </row>
    <row r="53" spans="1:22" ht="38.25" x14ac:dyDescent="0.25">
      <c r="A53" s="98" t="s">
        <v>273</v>
      </c>
      <c r="B53" s="104" t="s">
        <v>274</v>
      </c>
      <c r="C53" s="105" t="s">
        <v>250</v>
      </c>
      <c r="D53" s="105">
        <v>66</v>
      </c>
      <c r="E53" s="105">
        <f t="shared" si="21"/>
        <v>854.78399999999988</v>
      </c>
      <c r="F53" s="105">
        <f t="shared" si="22"/>
        <v>56415.743999999992</v>
      </c>
      <c r="G53" s="102" t="e">
        <f t="shared" si="23"/>
        <v>#DIV/0!</v>
      </c>
      <c r="H53" s="82">
        <f t="shared" si="25"/>
        <v>38976.959999999999</v>
      </c>
      <c r="I53" s="128">
        <v>590.55999999999995</v>
      </c>
      <c r="J53" s="128">
        <v>10</v>
      </c>
      <c r="K53" s="128">
        <f t="shared" si="26"/>
        <v>10</v>
      </c>
      <c r="L53" s="82">
        <f t="shared" si="20"/>
        <v>610.55999999999995</v>
      </c>
      <c r="M53" s="82">
        <f t="shared" si="24"/>
        <v>854.78399999999988</v>
      </c>
    </row>
    <row r="54" spans="1:22" x14ac:dyDescent="0.25">
      <c r="A54" s="98" t="s">
        <v>275</v>
      </c>
      <c r="B54" s="99" t="s">
        <v>276</v>
      </c>
      <c r="C54" s="100" t="s">
        <v>250</v>
      </c>
      <c r="D54" s="100">
        <v>1</v>
      </c>
      <c r="E54" s="100">
        <f t="shared" si="21"/>
        <v>403.38199999999995</v>
      </c>
      <c r="F54" s="100">
        <f t="shared" si="22"/>
        <v>403.38199999999995</v>
      </c>
      <c r="G54" s="102" t="e">
        <f t="shared" si="23"/>
        <v>#DIV/0!</v>
      </c>
      <c r="H54" s="82">
        <f t="shared" si="25"/>
        <v>268.13</v>
      </c>
      <c r="I54" s="128">
        <v>268.13</v>
      </c>
      <c r="J54" s="128">
        <v>10</v>
      </c>
      <c r="K54" s="128">
        <f t="shared" si="26"/>
        <v>10</v>
      </c>
      <c r="L54" s="82">
        <f t="shared" si="20"/>
        <v>288.13</v>
      </c>
      <c r="M54" s="82">
        <f t="shared" si="24"/>
        <v>403.38199999999995</v>
      </c>
    </row>
    <row r="55" spans="1:22" x14ac:dyDescent="0.25">
      <c r="A55" s="98" t="s">
        <v>277</v>
      </c>
      <c r="B55" s="99" t="s">
        <v>278</v>
      </c>
      <c r="C55" s="100" t="s">
        <v>250</v>
      </c>
      <c r="D55" s="100">
        <v>1</v>
      </c>
      <c r="E55" s="100">
        <f t="shared" si="21"/>
        <v>663.99199999999996</v>
      </c>
      <c r="F55" s="100">
        <f t="shared" si="22"/>
        <v>663.99199999999996</v>
      </c>
      <c r="G55" s="102" t="e">
        <f t="shared" si="23"/>
        <v>#DIV/0!</v>
      </c>
      <c r="H55" s="82">
        <f t="shared" si="25"/>
        <v>454.28</v>
      </c>
      <c r="I55" s="128">
        <v>454.28</v>
      </c>
      <c r="J55" s="128">
        <v>10</v>
      </c>
      <c r="K55" s="128">
        <f t="shared" si="26"/>
        <v>10</v>
      </c>
      <c r="L55" s="82">
        <f t="shared" si="20"/>
        <v>474.28</v>
      </c>
      <c r="M55" s="82">
        <f t="shared" si="24"/>
        <v>663.99199999999996</v>
      </c>
    </row>
    <row r="56" spans="1:22" x14ac:dyDescent="0.25">
      <c r="A56" s="98" t="s">
        <v>279</v>
      </c>
      <c r="B56" s="99" t="s">
        <v>280</v>
      </c>
      <c r="C56" s="100" t="s">
        <v>250</v>
      </c>
      <c r="D56" s="100">
        <v>4</v>
      </c>
      <c r="E56" s="100">
        <f t="shared" si="21"/>
        <v>115.63999999999999</v>
      </c>
      <c r="F56" s="100">
        <f t="shared" si="22"/>
        <v>462.55999999999995</v>
      </c>
      <c r="G56" s="102" t="e">
        <f t="shared" si="23"/>
        <v>#DIV/0!</v>
      </c>
      <c r="H56" s="82">
        <f t="shared" si="25"/>
        <v>250.4</v>
      </c>
      <c r="I56" s="128">
        <v>62.6</v>
      </c>
      <c r="J56" s="128">
        <v>10</v>
      </c>
      <c r="K56" s="128">
        <f t="shared" si="26"/>
        <v>10</v>
      </c>
      <c r="L56" s="82">
        <f t="shared" si="20"/>
        <v>82.6</v>
      </c>
      <c r="M56" s="82">
        <f t="shared" si="24"/>
        <v>115.63999999999999</v>
      </c>
    </row>
    <row r="57" spans="1:22" x14ac:dyDescent="0.25">
      <c r="A57" s="98" t="s">
        <v>281</v>
      </c>
      <c r="B57" s="99" t="s">
        <v>282</v>
      </c>
      <c r="C57" s="100" t="s">
        <v>250</v>
      </c>
      <c r="D57" s="100">
        <v>1</v>
      </c>
      <c r="E57" s="100">
        <f t="shared" si="21"/>
        <v>1508.6259999999997</v>
      </c>
      <c r="F57" s="100">
        <f t="shared" si="22"/>
        <v>1508.6259999999997</v>
      </c>
      <c r="G57" s="102" t="e">
        <f t="shared" si="23"/>
        <v>#DIV/0!</v>
      </c>
      <c r="H57" s="82">
        <f t="shared" si="25"/>
        <v>1057.5899999999999</v>
      </c>
      <c r="I57" s="128">
        <v>1057.5899999999999</v>
      </c>
      <c r="J57" s="128">
        <v>10</v>
      </c>
      <c r="K57" s="128">
        <f t="shared" si="26"/>
        <v>10</v>
      </c>
      <c r="L57" s="82">
        <f t="shared" si="20"/>
        <v>1077.5899999999999</v>
      </c>
      <c r="M57" s="82">
        <f t="shared" si="24"/>
        <v>1508.6259999999997</v>
      </c>
    </row>
    <row r="58" spans="1:22" x14ac:dyDescent="0.25">
      <c r="A58" s="98" t="s">
        <v>283</v>
      </c>
      <c r="B58" s="99" t="s">
        <v>284</v>
      </c>
      <c r="C58" s="100" t="s">
        <v>250</v>
      </c>
      <c r="D58" s="100">
        <v>1</v>
      </c>
      <c r="E58" s="100">
        <f t="shared" si="21"/>
        <v>403.38199999999995</v>
      </c>
      <c r="F58" s="100">
        <f t="shared" si="22"/>
        <v>403.38199999999995</v>
      </c>
      <c r="G58" s="102" t="e">
        <f t="shared" si="23"/>
        <v>#DIV/0!</v>
      </c>
      <c r="H58" s="82">
        <f t="shared" si="25"/>
        <v>268.13</v>
      </c>
      <c r="I58" s="128">
        <v>268.13</v>
      </c>
      <c r="J58" s="128">
        <v>10</v>
      </c>
      <c r="K58" s="128">
        <f t="shared" si="26"/>
        <v>10</v>
      </c>
      <c r="L58" s="82">
        <f t="shared" si="20"/>
        <v>288.13</v>
      </c>
      <c r="M58" s="82">
        <f t="shared" si="24"/>
        <v>403.38199999999995</v>
      </c>
    </row>
    <row r="59" spans="1:22" x14ac:dyDescent="0.25">
      <c r="A59" s="98" t="s">
        <v>285</v>
      </c>
      <c r="B59" s="99" t="s">
        <v>286</v>
      </c>
      <c r="C59" s="100" t="s">
        <v>250</v>
      </c>
      <c r="D59" s="100">
        <v>2</v>
      </c>
      <c r="E59" s="100">
        <f t="shared" si="21"/>
        <v>53.9</v>
      </c>
      <c r="F59" s="100">
        <f t="shared" si="22"/>
        <v>107.8</v>
      </c>
      <c r="G59" s="102" t="e">
        <f t="shared" si="23"/>
        <v>#DIV/0!</v>
      </c>
      <c r="H59" s="82">
        <f t="shared" si="25"/>
        <v>37</v>
      </c>
      <c r="I59" s="128">
        <v>18.5</v>
      </c>
      <c r="J59" s="128">
        <v>10</v>
      </c>
      <c r="K59" s="128">
        <f t="shared" si="26"/>
        <v>10</v>
      </c>
      <c r="L59" s="82">
        <f t="shared" si="20"/>
        <v>38.5</v>
      </c>
      <c r="M59" s="82">
        <f t="shared" si="24"/>
        <v>53.9</v>
      </c>
    </row>
    <row r="60" spans="1:22" x14ac:dyDescent="0.25">
      <c r="A60" s="98" t="s">
        <v>287</v>
      </c>
      <c r="B60" s="99" t="s">
        <v>288</v>
      </c>
      <c r="C60" s="100" t="s">
        <v>250</v>
      </c>
      <c r="D60" s="100">
        <v>1</v>
      </c>
      <c r="E60" s="100">
        <f t="shared" si="21"/>
        <v>70.699999999999989</v>
      </c>
      <c r="F60" s="100">
        <f t="shared" si="22"/>
        <v>70.699999999999989</v>
      </c>
      <c r="G60" s="102" t="e">
        <f t="shared" si="23"/>
        <v>#DIV/0!</v>
      </c>
      <c r="H60" s="82">
        <f t="shared" si="25"/>
        <v>30.5</v>
      </c>
      <c r="I60" s="128">
        <f>[3]Planilha1!G29</f>
        <v>30.5</v>
      </c>
      <c r="J60" s="128">
        <v>10</v>
      </c>
      <c r="K60" s="128">
        <f t="shared" si="26"/>
        <v>10</v>
      </c>
      <c r="L60" s="82">
        <f t="shared" si="20"/>
        <v>50.5</v>
      </c>
      <c r="M60" s="82">
        <f t="shared" si="24"/>
        <v>70.699999999999989</v>
      </c>
    </row>
    <row r="61" spans="1:22" x14ac:dyDescent="0.25">
      <c r="A61" s="98" t="s">
        <v>289</v>
      </c>
      <c r="B61" s="99" t="s">
        <v>290</v>
      </c>
      <c r="C61" s="100" t="s">
        <v>250</v>
      </c>
      <c r="D61" s="100">
        <v>9</v>
      </c>
      <c r="E61" s="100">
        <f t="shared" si="21"/>
        <v>44.8</v>
      </c>
      <c r="F61" s="100">
        <f t="shared" si="22"/>
        <v>403.2</v>
      </c>
      <c r="G61" s="102" t="e">
        <f t="shared" si="23"/>
        <v>#DIV/0!</v>
      </c>
      <c r="H61" s="82">
        <f t="shared" si="25"/>
        <v>108</v>
      </c>
      <c r="I61" s="128">
        <f>[3]Planilha1!G30</f>
        <v>12</v>
      </c>
      <c r="J61" s="128">
        <v>10</v>
      </c>
      <c r="K61" s="128">
        <f t="shared" si="26"/>
        <v>10</v>
      </c>
      <c r="L61" s="82">
        <f t="shared" si="20"/>
        <v>32</v>
      </c>
      <c r="M61" s="82">
        <f t="shared" si="24"/>
        <v>44.8</v>
      </c>
    </row>
    <row r="62" spans="1:22" x14ac:dyDescent="0.25">
      <c r="A62" s="98" t="s">
        <v>291</v>
      </c>
      <c r="B62" s="99" t="s">
        <v>292</v>
      </c>
      <c r="C62" s="100" t="s">
        <v>250</v>
      </c>
      <c r="D62" s="100">
        <v>1</v>
      </c>
      <c r="E62" s="100">
        <f t="shared" si="21"/>
        <v>847.476</v>
      </c>
      <c r="F62" s="100">
        <f t="shared" si="22"/>
        <v>847.476</v>
      </c>
      <c r="G62" s="102" t="e">
        <f t="shared" si="23"/>
        <v>#DIV/0!</v>
      </c>
      <c r="H62" s="82">
        <f t="shared" si="25"/>
        <v>585.34</v>
      </c>
      <c r="I62" s="128">
        <f>[3]Planilha1!G31</f>
        <v>585.34</v>
      </c>
      <c r="J62" s="128">
        <v>10</v>
      </c>
      <c r="K62" s="128">
        <f t="shared" si="26"/>
        <v>10</v>
      </c>
      <c r="L62" s="82">
        <f t="shared" si="20"/>
        <v>605.34</v>
      </c>
      <c r="M62" s="82">
        <f t="shared" si="24"/>
        <v>847.476</v>
      </c>
    </row>
    <row r="63" spans="1:22" x14ac:dyDescent="0.25">
      <c r="A63" s="98" t="s">
        <v>293</v>
      </c>
      <c r="B63" s="99" t="s">
        <v>294</v>
      </c>
      <c r="C63" s="100" t="s">
        <v>250</v>
      </c>
      <c r="D63" s="100">
        <v>2</v>
      </c>
      <c r="E63" s="100">
        <f t="shared" si="21"/>
        <v>737.09999999999991</v>
      </c>
      <c r="F63" s="100">
        <f t="shared" si="22"/>
        <v>1474.1999999999998</v>
      </c>
      <c r="G63" s="102" t="e">
        <f t="shared" si="23"/>
        <v>#DIV/0!</v>
      </c>
      <c r="H63" s="82">
        <f t="shared" si="25"/>
        <v>1013</v>
      </c>
      <c r="I63" s="128">
        <f>[3]Planilha1!G32</f>
        <v>506.5</v>
      </c>
      <c r="J63" s="128">
        <v>10</v>
      </c>
      <c r="K63" s="128">
        <f t="shared" si="26"/>
        <v>10</v>
      </c>
      <c r="L63" s="82">
        <f t="shared" si="20"/>
        <v>526.5</v>
      </c>
      <c r="M63" s="82">
        <f t="shared" si="24"/>
        <v>737.09999999999991</v>
      </c>
    </row>
    <row r="64" spans="1:22" x14ac:dyDescent="0.25">
      <c r="A64" s="98" t="s">
        <v>295</v>
      </c>
      <c r="B64" s="99" t="s">
        <v>296</v>
      </c>
      <c r="C64" s="100" t="s">
        <v>250</v>
      </c>
      <c r="D64" s="100">
        <v>1</v>
      </c>
      <c r="E64" s="100">
        <f t="shared" si="21"/>
        <v>611.93999999999994</v>
      </c>
      <c r="F64" s="100">
        <f t="shared" si="22"/>
        <v>611.93999999999994</v>
      </c>
      <c r="G64" s="102" t="e">
        <f t="shared" si="23"/>
        <v>#DIV/0!</v>
      </c>
      <c r="H64" s="82">
        <f t="shared" si="25"/>
        <v>417.1</v>
      </c>
      <c r="I64" s="128">
        <f>[3]Planilha1!G33</f>
        <v>417.1</v>
      </c>
      <c r="J64" s="128">
        <v>10</v>
      </c>
      <c r="K64" s="128">
        <f t="shared" si="26"/>
        <v>10</v>
      </c>
      <c r="L64" s="82">
        <f t="shared" si="20"/>
        <v>437.1</v>
      </c>
      <c r="M64" s="82">
        <f t="shared" si="24"/>
        <v>611.93999999999994</v>
      </c>
    </row>
    <row r="65" spans="1:13" x14ac:dyDescent="0.25">
      <c r="A65" s="98" t="s">
        <v>297</v>
      </c>
      <c r="B65" s="99" t="s">
        <v>298</v>
      </c>
      <c r="C65" s="100" t="s">
        <v>250</v>
      </c>
      <c r="D65" s="100">
        <v>2</v>
      </c>
      <c r="E65" s="100">
        <f t="shared" si="21"/>
        <v>355.41800000000001</v>
      </c>
      <c r="F65" s="100">
        <f t="shared" si="22"/>
        <v>710.83600000000001</v>
      </c>
      <c r="G65" s="102" t="e">
        <f t="shared" si="23"/>
        <v>#DIV/0!</v>
      </c>
      <c r="H65" s="82">
        <f t="shared" si="25"/>
        <v>467.74</v>
      </c>
      <c r="I65" s="128">
        <f>[3]Planilha1!G34</f>
        <v>233.87</v>
      </c>
      <c r="J65" s="128">
        <v>10</v>
      </c>
      <c r="K65" s="128">
        <f t="shared" si="26"/>
        <v>10</v>
      </c>
      <c r="L65" s="82">
        <f t="shared" si="20"/>
        <v>253.87</v>
      </c>
      <c r="M65" s="82">
        <f t="shared" si="24"/>
        <v>355.41800000000001</v>
      </c>
    </row>
    <row r="66" spans="1:13" x14ac:dyDescent="0.25">
      <c r="A66" s="98" t="s">
        <v>299</v>
      </c>
      <c r="B66" s="99" t="s">
        <v>300</v>
      </c>
      <c r="C66" s="100" t="s">
        <v>250</v>
      </c>
      <c r="D66" s="100">
        <v>1</v>
      </c>
      <c r="E66" s="100">
        <f t="shared" si="21"/>
        <v>2184</v>
      </c>
      <c r="F66" s="100">
        <f t="shared" si="22"/>
        <v>2184</v>
      </c>
      <c r="G66" s="102" t="e">
        <f t="shared" si="23"/>
        <v>#DIV/0!</v>
      </c>
      <c r="H66" s="82">
        <f t="shared" si="25"/>
        <v>1540</v>
      </c>
      <c r="I66" s="128">
        <v>1540</v>
      </c>
      <c r="J66" s="128">
        <v>10</v>
      </c>
      <c r="K66" s="128">
        <f t="shared" si="26"/>
        <v>10</v>
      </c>
      <c r="L66" s="82">
        <f t="shared" si="20"/>
        <v>1560</v>
      </c>
      <c r="M66" s="82">
        <f t="shared" si="24"/>
        <v>2184</v>
      </c>
    </row>
    <row r="67" spans="1:13" ht="25.5" x14ac:dyDescent="0.25">
      <c r="A67" s="98" t="s">
        <v>301</v>
      </c>
      <c r="B67" s="99" t="s">
        <v>302</v>
      </c>
      <c r="C67" s="100" t="s">
        <v>250</v>
      </c>
      <c r="D67" s="100">
        <v>1</v>
      </c>
      <c r="E67" s="100">
        <f t="shared" si="21"/>
        <v>4537.7219999999998</v>
      </c>
      <c r="F67" s="100">
        <f t="shared" si="22"/>
        <v>4537.7219999999998</v>
      </c>
      <c r="G67" s="102" t="e">
        <f t="shared" si="23"/>
        <v>#DIV/0!</v>
      </c>
      <c r="H67" s="82">
        <f t="shared" si="25"/>
        <v>3221.23</v>
      </c>
      <c r="I67" s="128">
        <f>[3]Planilha1!G36</f>
        <v>3221.23</v>
      </c>
      <c r="J67" s="128">
        <v>10</v>
      </c>
      <c r="K67" s="128">
        <f t="shared" si="26"/>
        <v>10</v>
      </c>
      <c r="L67" s="82">
        <f t="shared" si="20"/>
        <v>3241.23</v>
      </c>
      <c r="M67" s="82">
        <f t="shared" si="24"/>
        <v>4537.7219999999998</v>
      </c>
    </row>
    <row r="68" spans="1:13" x14ac:dyDescent="0.25">
      <c r="A68" s="98" t="s">
        <v>303</v>
      </c>
      <c r="B68" s="99" t="s">
        <v>304</v>
      </c>
      <c r="C68" s="100" t="s">
        <v>250</v>
      </c>
      <c r="D68" s="100">
        <v>2</v>
      </c>
      <c r="E68" s="100">
        <f t="shared" si="21"/>
        <v>924.75599999999986</v>
      </c>
      <c r="F68" s="100">
        <f t="shared" si="22"/>
        <v>1849.5119999999997</v>
      </c>
      <c r="G68" s="102" t="e">
        <f t="shared" si="23"/>
        <v>#DIV/0!</v>
      </c>
      <c r="H68" s="82">
        <f t="shared" si="25"/>
        <v>1281.08</v>
      </c>
      <c r="I68" s="128">
        <f>[3]Planilha1!G37</f>
        <v>640.54</v>
      </c>
      <c r="J68" s="128">
        <v>10</v>
      </c>
      <c r="K68" s="128">
        <f t="shared" si="26"/>
        <v>10</v>
      </c>
      <c r="L68" s="82">
        <f t="shared" si="20"/>
        <v>660.54</v>
      </c>
      <c r="M68" s="82">
        <f t="shared" si="24"/>
        <v>924.75599999999986</v>
      </c>
    </row>
    <row r="69" spans="1:13" x14ac:dyDescent="0.25">
      <c r="A69" s="98" t="s">
        <v>305</v>
      </c>
      <c r="B69" s="99" t="s">
        <v>306</v>
      </c>
      <c r="C69" s="100" t="s">
        <v>250</v>
      </c>
      <c r="D69" s="100">
        <v>1</v>
      </c>
      <c r="E69" s="100">
        <f t="shared" si="21"/>
        <v>1150.6599999999999</v>
      </c>
      <c r="F69" s="100">
        <f t="shared" si="22"/>
        <v>1150.6599999999999</v>
      </c>
      <c r="G69" s="102" t="e">
        <f t="shared" si="23"/>
        <v>#DIV/0!</v>
      </c>
      <c r="H69" s="82">
        <f t="shared" si="25"/>
        <v>801.9</v>
      </c>
      <c r="I69" s="128">
        <f>[3]Planilha1!G38</f>
        <v>801.9</v>
      </c>
      <c r="J69" s="128">
        <v>10</v>
      </c>
      <c r="K69" s="128">
        <f t="shared" si="26"/>
        <v>10</v>
      </c>
      <c r="L69" s="82">
        <f t="shared" si="20"/>
        <v>821.9</v>
      </c>
      <c r="M69" s="82">
        <f t="shared" si="24"/>
        <v>1150.6599999999999</v>
      </c>
    </row>
    <row r="70" spans="1:13" x14ac:dyDescent="0.25">
      <c r="A70" s="98" t="s">
        <v>307</v>
      </c>
      <c r="B70" s="99" t="s">
        <v>308</v>
      </c>
      <c r="C70" s="100" t="s">
        <v>250</v>
      </c>
      <c r="D70" s="100">
        <v>1</v>
      </c>
      <c r="E70" s="100">
        <f t="shared" si="21"/>
        <v>611.93999999999994</v>
      </c>
      <c r="F70" s="100">
        <f t="shared" si="22"/>
        <v>611.93999999999994</v>
      </c>
      <c r="G70" s="102" t="e">
        <f t="shared" si="23"/>
        <v>#DIV/0!</v>
      </c>
      <c r="H70" s="82">
        <f t="shared" si="25"/>
        <v>417.1</v>
      </c>
      <c r="I70" s="128">
        <f>[3]Planilha1!G39</f>
        <v>417.1</v>
      </c>
      <c r="J70" s="128">
        <v>10</v>
      </c>
      <c r="K70" s="128">
        <f t="shared" si="26"/>
        <v>10</v>
      </c>
      <c r="L70" s="82">
        <f t="shared" si="20"/>
        <v>437.1</v>
      </c>
      <c r="M70" s="82">
        <f t="shared" si="24"/>
        <v>611.93999999999994</v>
      </c>
    </row>
    <row r="71" spans="1:13" x14ac:dyDescent="0.25">
      <c r="A71" s="98" t="s">
        <v>309</v>
      </c>
      <c r="B71" s="99" t="s">
        <v>310</v>
      </c>
      <c r="C71" s="100" t="s">
        <v>250</v>
      </c>
      <c r="D71" s="100">
        <v>2</v>
      </c>
      <c r="E71" s="100">
        <f t="shared" si="21"/>
        <v>663.99199999999996</v>
      </c>
      <c r="F71" s="100">
        <f t="shared" si="22"/>
        <v>1327.9839999999999</v>
      </c>
      <c r="G71" s="102" t="e">
        <f t="shared" si="23"/>
        <v>#DIV/0!</v>
      </c>
      <c r="H71" s="82">
        <f t="shared" si="25"/>
        <v>908.56</v>
      </c>
      <c r="I71" s="128">
        <f>[3]Planilha1!G40</f>
        <v>454.28</v>
      </c>
      <c r="J71" s="128">
        <v>10</v>
      </c>
      <c r="K71" s="128">
        <f t="shared" si="26"/>
        <v>10</v>
      </c>
      <c r="L71" s="82">
        <f t="shared" si="20"/>
        <v>474.28</v>
      </c>
      <c r="M71" s="82">
        <f t="shared" si="24"/>
        <v>663.99199999999996</v>
      </c>
    </row>
    <row r="72" spans="1:13" x14ac:dyDescent="0.25">
      <c r="A72" s="98" t="s">
        <v>311</v>
      </c>
      <c r="B72" s="99" t="s">
        <v>312</v>
      </c>
      <c r="C72" s="100" t="s">
        <v>250</v>
      </c>
      <c r="D72" s="100">
        <v>3</v>
      </c>
      <c r="E72" s="100">
        <f t="shared" si="21"/>
        <v>586.74</v>
      </c>
      <c r="F72" s="100">
        <f t="shared" si="22"/>
        <v>1760.22</v>
      </c>
      <c r="G72" s="102" t="e">
        <f t="shared" si="23"/>
        <v>#DIV/0!</v>
      </c>
      <c r="H72" s="82">
        <f t="shared" si="25"/>
        <v>1197.3000000000002</v>
      </c>
      <c r="I72" s="128">
        <f>[3]Planilha1!G41</f>
        <v>399.1</v>
      </c>
      <c r="J72" s="128">
        <v>10</v>
      </c>
      <c r="K72" s="128">
        <f t="shared" si="26"/>
        <v>10</v>
      </c>
      <c r="L72" s="82">
        <f t="shared" si="20"/>
        <v>419.1</v>
      </c>
      <c r="M72" s="82">
        <f t="shared" si="24"/>
        <v>586.74</v>
      </c>
    </row>
    <row r="73" spans="1:13" x14ac:dyDescent="0.25">
      <c r="A73" s="98" t="s">
        <v>313</v>
      </c>
      <c r="B73" s="99" t="s">
        <v>314</v>
      </c>
      <c r="C73" s="100" t="s">
        <v>250</v>
      </c>
      <c r="D73" s="100">
        <v>8</v>
      </c>
      <c r="E73" s="100">
        <f t="shared" si="21"/>
        <v>400.48399999999998</v>
      </c>
      <c r="F73" s="100">
        <f t="shared" si="22"/>
        <v>3203.8719999999998</v>
      </c>
      <c r="G73" s="102" t="e">
        <f t="shared" si="23"/>
        <v>#DIV/0!</v>
      </c>
      <c r="H73" s="82">
        <f t="shared" si="25"/>
        <v>2128.48</v>
      </c>
      <c r="I73" s="128">
        <f>[3]Planilha1!G42</f>
        <v>266.06</v>
      </c>
      <c r="J73" s="128">
        <v>10</v>
      </c>
      <c r="K73" s="128">
        <f t="shared" si="26"/>
        <v>10</v>
      </c>
      <c r="L73" s="82">
        <f t="shared" si="20"/>
        <v>286.06</v>
      </c>
      <c r="M73" s="82">
        <f t="shared" si="24"/>
        <v>400.48399999999998</v>
      </c>
    </row>
    <row r="74" spans="1:13" x14ac:dyDescent="0.25">
      <c r="A74" s="98" t="s">
        <v>315</v>
      </c>
      <c r="B74" s="99" t="s">
        <v>316</v>
      </c>
      <c r="C74" s="100" t="s">
        <v>250</v>
      </c>
      <c r="D74" s="100">
        <v>1</v>
      </c>
      <c r="E74" s="100">
        <f t="shared" si="21"/>
        <v>716.19799999999998</v>
      </c>
      <c r="F74" s="100">
        <f t="shared" si="22"/>
        <v>716.19799999999998</v>
      </c>
      <c r="G74" s="102" t="e">
        <f t="shared" si="23"/>
        <v>#DIV/0!</v>
      </c>
      <c r="H74" s="82">
        <f t="shared" si="25"/>
        <v>491.57</v>
      </c>
      <c r="I74" s="128">
        <f>[3]Planilha1!G43</f>
        <v>491.57</v>
      </c>
      <c r="J74" s="128">
        <v>10</v>
      </c>
      <c r="K74" s="128">
        <f t="shared" si="26"/>
        <v>10</v>
      </c>
      <c r="L74" s="82">
        <f t="shared" si="20"/>
        <v>511.57</v>
      </c>
      <c r="M74" s="82">
        <f t="shared" si="24"/>
        <v>716.19799999999998</v>
      </c>
    </row>
    <row r="75" spans="1:13" x14ac:dyDescent="0.25">
      <c r="A75" s="98" t="s">
        <v>317</v>
      </c>
      <c r="B75" s="99" t="s">
        <v>318</v>
      </c>
      <c r="C75" s="100" t="s">
        <v>250</v>
      </c>
      <c r="D75" s="100">
        <v>2</v>
      </c>
      <c r="E75" s="100">
        <f t="shared" si="21"/>
        <v>403.38199999999995</v>
      </c>
      <c r="F75" s="100">
        <f t="shared" si="22"/>
        <v>806.7639999999999</v>
      </c>
      <c r="G75" s="102" t="e">
        <f t="shared" si="23"/>
        <v>#DIV/0!</v>
      </c>
      <c r="H75" s="82">
        <f t="shared" si="25"/>
        <v>536.26</v>
      </c>
      <c r="I75" s="128">
        <f>[3]Planilha1!G44</f>
        <v>268.13</v>
      </c>
      <c r="J75" s="128">
        <v>10</v>
      </c>
      <c r="K75" s="128">
        <f t="shared" si="26"/>
        <v>10</v>
      </c>
      <c r="L75" s="82">
        <f t="shared" si="20"/>
        <v>288.13</v>
      </c>
      <c r="M75" s="82">
        <f t="shared" si="24"/>
        <v>403.38199999999995</v>
      </c>
    </row>
    <row r="76" spans="1:13" x14ac:dyDescent="0.25">
      <c r="A76" s="98" t="s">
        <v>319</v>
      </c>
      <c r="B76" s="99" t="s">
        <v>320</v>
      </c>
      <c r="C76" s="100" t="s">
        <v>250</v>
      </c>
      <c r="D76" s="100">
        <v>35</v>
      </c>
      <c r="E76" s="100">
        <f t="shared" si="21"/>
        <v>320.05399999999997</v>
      </c>
      <c r="F76" s="100">
        <f t="shared" si="22"/>
        <v>11201.89</v>
      </c>
      <c r="G76" s="102" t="e">
        <f t="shared" si="23"/>
        <v>#DIV/0!</v>
      </c>
      <c r="H76" s="82">
        <f t="shared" si="25"/>
        <v>7301.35</v>
      </c>
      <c r="I76" s="128">
        <f>[3]Planilha1!G45</f>
        <v>208.61</v>
      </c>
      <c r="J76" s="128">
        <v>10</v>
      </c>
      <c r="K76" s="128">
        <f t="shared" si="26"/>
        <v>10</v>
      </c>
      <c r="L76" s="82">
        <f t="shared" si="20"/>
        <v>228.61</v>
      </c>
      <c r="M76" s="82">
        <f t="shared" si="24"/>
        <v>320.05399999999997</v>
      </c>
    </row>
    <row r="77" spans="1:13" x14ac:dyDescent="0.25">
      <c r="A77" s="98" t="s">
        <v>321</v>
      </c>
      <c r="B77" s="99" t="s">
        <v>322</v>
      </c>
      <c r="C77" s="100" t="s">
        <v>250</v>
      </c>
      <c r="D77" s="100">
        <v>2</v>
      </c>
      <c r="E77" s="100">
        <f t="shared" si="21"/>
        <v>208.87999999999997</v>
      </c>
      <c r="F77" s="100">
        <f t="shared" si="22"/>
        <v>417.75999999999993</v>
      </c>
      <c r="G77" s="102" t="e">
        <f t="shared" si="23"/>
        <v>#DIV/0!</v>
      </c>
      <c r="H77" s="82">
        <f t="shared" si="25"/>
        <v>258.39999999999998</v>
      </c>
      <c r="I77" s="128">
        <f>[3]Planilha1!G46</f>
        <v>129.19999999999999</v>
      </c>
      <c r="J77" s="128">
        <v>10</v>
      </c>
      <c r="K77" s="128">
        <f t="shared" si="26"/>
        <v>10</v>
      </c>
      <c r="L77" s="82">
        <f t="shared" si="20"/>
        <v>149.19999999999999</v>
      </c>
      <c r="M77" s="82">
        <f t="shared" si="24"/>
        <v>208.87999999999997</v>
      </c>
    </row>
    <row r="78" spans="1:13" x14ac:dyDescent="0.25">
      <c r="A78" s="98" t="s">
        <v>323</v>
      </c>
      <c r="B78" s="99" t="s">
        <v>324</v>
      </c>
      <c r="C78" s="100" t="s">
        <v>250</v>
      </c>
      <c r="D78" s="100">
        <v>1</v>
      </c>
      <c r="E78" s="100">
        <f t="shared" si="21"/>
        <v>78.399999999999991</v>
      </c>
      <c r="F78" s="100">
        <f t="shared" si="22"/>
        <v>78.399999999999991</v>
      </c>
      <c r="G78" s="102" t="e">
        <f t="shared" si="23"/>
        <v>#DIV/0!</v>
      </c>
      <c r="H78" s="82">
        <f t="shared" si="25"/>
        <v>36</v>
      </c>
      <c r="I78" s="128">
        <f>[3]Planilha1!G47</f>
        <v>36</v>
      </c>
      <c r="J78" s="128">
        <v>10</v>
      </c>
      <c r="K78" s="128">
        <f t="shared" si="26"/>
        <v>10</v>
      </c>
      <c r="L78" s="82">
        <f t="shared" si="20"/>
        <v>56</v>
      </c>
      <c r="M78" s="82">
        <f t="shared" si="24"/>
        <v>78.399999999999991</v>
      </c>
    </row>
    <row r="79" spans="1:13" x14ac:dyDescent="0.25">
      <c r="A79" s="98" t="s">
        <v>325</v>
      </c>
      <c r="B79" s="99" t="s">
        <v>326</v>
      </c>
      <c r="C79" s="100" t="s">
        <v>250</v>
      </c>
      <c r="D79" s="100">
        <v>8</v>
      </c>
      <c r="E79" s="100">
        <f t="shared" si="21"/>
        <v>62.719999999999992</v>
      </c>
      <c r="F79" s="100">
        <f t="shared" si="22"/>
        <v>501.75999999999993</v>
      </c>
      <c r="G79" s="102" t="e">
        <f t="shared" si="23"/>
        <v>#DIV/0!</v>
      </c>
      <c r="H79" s="82">
        <f t="shared" si="25"/>
        <v>198.4</v>
      </c>
      <c r="I79" s="128">
        <f>[3]Planilha1!G48</f>
        <v>24.8</v>
      </c>
      <c r="J79" s="128">
        <v>10</v>
      </c>
      <c r="K79" s="128">
        <f t="shared" si="26"/>
        <v>10</v>
      </c>
      <c r="L79" s="82">
        <f t="shared" si="20"/>
        <v>44.8</v>
      </c>
      <c r="M79" s="82">
        <f t="shared" si="24"/>
        <v>62.719999999999992</v>
      </c>
    </row>
    <row r="80" spans="1:13" x14ac:dyDescent="0.25">
      <c r="A80" s="98" t="s">
        <v>327</v>
      </c>
      <c r="B80" s="99" t="s">
        <v>328</v>
      </c>
      <c r="C80" s="100" t="s">
        <v>250</v>
      </c>
      <c r="D80" s="100">
        <v>12</v>
      </c>
      <c r="E80" s="100">
        <f t="shared" si="21"/>
        <v>208.25</v>
      </c>
      <c r="F80" s="100">
        <f t="shared" si="22"/>
        <v>2499</v>
      </c>
      <c r="G80" s="102" t="e">
        <f t="shared" si="23"/>
        <v>#DIV/0!</v>
      </c>
      <c r="H80" s="82">
        <f t="shared" si="25"/>
        <v>1545</v>
      </c>
      <c r="I80" s="128">
        <f>[3]Planilha1!G49</f>
        <v>128.75</v>
      </c>
      <c r="J80" s="128">
        <v>10</v>
      </c>
      <c r="K80" s="128">
        <f t="shared" si="26"/>
        <v>10</v>
      </c>
      <c r="L80" s="82">
        <f t="shared" si="20"/>
        <v>148.75</v>
      </c>
      <c r="M80" s="82">
        <f t="shared" si="24"/>
        <v>208.25</v>
      </c>
    </row>
    <row r="81" spans="1:14" x14ac:dyDescent="0.25">
      <c r="A81" s="98" t="s">
        <v>329</v>
      </c>
      <c r="B81" s="99" t="s">
        <v>330</v>
      </c>
      <c r="C81" s="100" t="s">
        <v>250</v>
      </c>
      <c r="D81" s="100">
        <v>31</v>
      </c>
      <c r="E81" s="100">
        <f t="shared" si="21"/>
        <v>46.480000000000004</v>
      </c>
      <c r="F81" s="100">
        <f t="shared" si="22"/>
        <v>1440.88</v>
      </c>
      <c r="G81" s="102" t="e">
        <f t="shared" si="23"/>
        <v>#DIV/0!</v>
      </c>
      <c r="H81" s="82">
        <f t="shared" si="25"/>
        <v>409.2</v>
      </c>
      <c r="I81" s="128">
        <f>[3]Planilha1!G50</f>
        <v>13.2</v>
      </c>
      <c r="J81" s="128">
        <v>10</v>
      </c>
      <c r="K81" s="128">
        <f t="shared" si="26"/>
        <v>10</v>
      </c>
      <c r="L81" s="82">
        <f t="shared" si="20"/>
        <v>33.200000000000003</v>
      </c>
      <c r="M81" s="82">
        <f t="shared" si="24"/>
        <v>46.480000000000004</v>
      </c>
    </row>
    <row r="82" spans="1:14" x14ac:dyDescent="0.25">
      <c r="A82" s="98" t="s">
        <v>331</v>
      </c>
      <c r="B82" s="99" t="s">
        <v>332</v>
      </c>
      <c r="C82" s="100" t="s">
        <v>250</v>
      </c>
      <c r="D82" s="100">
        <v>3</v>
      </c>
      <c r="E82" s="100">
        <f t="shared" si="21"/>
        <v>42.251999999999995</v>
      </c>
      <c r="F82" s="100">
        <f t="shared" si="22"/>
        <v>126.75599999999999</v>
      </c>
      <c r="G82" s="102" t="e">
        <f t="shared" si="23"/>
        <v>#DIV/0!</v>
      </c>
      <c r="H82" s="82">
        <f t="shared" si="25"/>
        <v>30.54</v>
      </c>
      <c r="I82" s="128">
        <f>[3]Planilha1!G51</f>
        <v>10.18</v>
      </c>
      <c r="J82" s="128">
        <v>10</v>
      </c>
      <c r="K82" s="128">
        <f t="shared" si="26"/>
        <v>10</v>
      </c>
      <c r="L82" s="82">
        <f t="shared" si="20"/>
        <v>30.18</v>
      </c>
      <c r="M82" s="82">
        <f t="shared" si="24"/>
        <v>42.251999999999995</v>
      </c>
    </row>
    <row r="83" spans="1:14" x14ac:dyDescent="0.25">
      <c r="A83" s="98" t="s">
        <v>333</v>
      </c>
      <c r="B83" s="99" t="s">
        <v>334</v>
      </c>
      <c r="C83" s="100" t="s">
        <v>250</v>
      </c>
      <c r="D83" s="100">
        <v>4</v>
      </c>
      <c r="E83" s="100">
        <f t="shared" si="21"/>
        <v>64.11999999999999</v>
      </c>
      <c r="F83" s="100">
        <f t="shared" si="22"/>
        <v>256.47999999999996</v>
      </c>
      <c r="G83" s="102" t="e">
        <f t="shared" si="23"/>
        <v>#DIV/0!</v>
      </c>
      <c r="H83" s="82">
        <f t="shared" si="25"/>
        <v>103.2</v>
      </c>
      <c r="I83" s="128">
        <f>[3]Planilha1!G52</f>
        <v>25.8</v>
      </c>
      <c r="J83" s="128">
        <v>10</v>
      </c>
      <c r="K83" s="128">
        <f t="shared" si="26"/>
        <v>10</v>
      </c>
      <c r="L83" s="82">
        <f t="shared" si="20"/>
        <v>45.8</v>
      </c>
      <c r="M83" s="82">
        <f t="shared" si="24"/>
        <v>64.11999999999999</v>
      </c>
    </row>
    <row r="84" spans="1:14" x14ac:dyDescent="0.25">
      <c r="A84" s="98" t="s">
        <v>335</v>
      </c>
      <c r="B84" s="99" t="s">
        <v>336</v>
      </c>
      <c r="C84" s="100" t="s">
        <v>250</v>
      </c>
      <c r="D84" s="100">
        <v>1</v>
      </c>
      <c r="E84" s="100">
        <f t="shared" si="21"/>
        <v>945.50399999999991</v>
      </c>
      <c r="F84" s="100">
        <f t="shared" si="22"/>
        <v>945.50399999999991</v>
      </c>
      <c r="G84" s="102" t="e">
        <f t="shared" si="23"/>
        <v>#DIV/0!</v>
      </c>
      <c r="H84" s="82">
        <f t="shared" si="25"/>
        <v>655.36</v>
      </c>
      <c r="I84" s="128">
        <f>[3]Planilha1!G53</f>
        <v>655.36</v>
      </c>
      <c r="J84" s="128">
        <v>10</v>
      </c>
      <c r="K84" s="128">
        <f t="shared" si="26"/>
        <v>10</v>
      </c>
      <c r="L84" s="82">
        <f t="shared" si="20"/>
        <v>675.36</v>
      </c>
      <c r="M84" s="82">
        <f t="shared" si="24"/>
        <v>945.50399999999991</v>
      </c>
    </row>
    <row r="85" spans="1:14" ht="25.5" x14ac:dyDescent="0.25">
      <c r="A85" s="98" t="s">
        <v>337</v>
      </c>
      <c r="B85" s="104" t="s">
        <v>338</v>
      </c>
      <c r="C85" s="105" t="s">
        <v>250</v>
      </c>
      <c r="D85" s="105">
        <v>2</v>
      </c>
      <c r="E85" s="105">
        <f t="shared" si="21"/>
        <v>9443</v>
      </c>
      <c r="F85" s="105">
        <f t="shared" si="22"/>
        <v>18886</v>
      </c>
      <c r="G85" s="102" t="e">
        <f t="shared" si="23"/>
        <v>#DIV/0!</v>
      </c>
      <c r="H85" s="82">
        <f t="shared" si="25"/>
        <v>12470</v>
      </c>
      <c r="I85" s="128">
        <f>[3]Planilha1!G54</f>
        <v>6235</v>
      </c>
      <c r="J85" s="128">
        <v>500</v>
      </c>
      <c r="K85" s="128">
        <f t="shared" si="26"/>
        <v>10</v>
      </c>
      <c r="L85" s="82">
        <f t="shared" si="20"/>
        <v>6745</v>
      </c>
      <c r="M85" s="82">
        <f t="shared" si="24"/>
        <v>9443</v>
      </c>
    </row>
    <row r="86" spans="1:14" x14ac:dyDescent="0.25">
      <c r="A86" s="98" t="s">
        <v>339</v>
      </c>
      <c r="B86" s="99" t="s">
        <v>340</v>
      </c>
      <c r="C86" s="100" t="s">
        <v>230</v>
      </c>
      <c r="D86" s="100">
        <f>D87+D88+D89+D90+D91</f>
        <v>8936.67</v>
      </c>
      <c r="E86" s="100">
        <f t="shared" si="21"/>
        <v>1.8199999999999998</v>
      </c>
      <c r="F86" s="100">
        <f t="shared" si="22"/>
        <v>16264.739399999999</v>
      </c>
      <c r="G86" s="102" t="e">
        <f t="shared" si="23"/>
        <v>#DIV/0!</v>
      </c>
      <c r="H86" s="82">
        <f t="shared" si="25"/>
        <v>2681.0009999999997</v>
      </c>
      <c r="I86" s="128">
        <f>I95</f>
        <v>0.3</v>
      </c>
      <c r="J86" s="128">
        <f>J95</f>
        <v>0.8</v>
      </c>
      <c r="K86" s="128">
        <f>K95</f>
        <v>0.2</v>
      </c>
      <c r="L86" s="82">
        <f t="shared" si="20"/>
        <v>1.3</v>
      </c>
      <c r="M86" s="82">
        <f t="shared" si="24"/>
        <v>1.8199999999999998</v>
      </c>
    </row>
    <row r="87" spans="1:14" ht="25.5" x14ac:dyDescent="0.25">
      <c r="A87" s="98" t="s">
        <v>341</v>
      </c>
      <c r="B87" s="99" t="s">
        <v>342</v>
      </c>
      <c r="C87" s="100" t="s">
        <v>230</v>
      </c>
      <c r="D87" s="100">
        <v>396.48</v>
      </c>
      <c r="E87" s="100">
        <f t="shared" si="21"/>
        <v>186.88701515151513</v>
      </c>
      <c r="F87" s="100">
        <f t="shared" si="22"/>
        <v>74096.963767272726</v>
      </c>
      <c r="G87" s="102" t="e">
        <f t="shared" si="23"/>
        <v>#DIV/0!</v>
      </c>
      <c r="H87" s="82">
        <f t="shared" si="25"/>
        <v>45829.784</v>
      </c>
      <c r="I87" s="128">
        <f>[3]Planilha1!G56/6</f>
        <v>115.59166666666665</v>
      </c>
      <c r="J87" s="128">
        <f>J96</f>
        <v>12.809740259740259</v>
      </c>
      <c r="K87" s="128">
        <f>K96</f>
        <v>5.0893181818181823</v>
      </c>
      <c r="L87" s="82">
        <f t="shared" si="20"/>
        <v>133.49072510822509</v>
      </c>
      <c r="M87" s="82">
        <f t="shared" si="24"/>
        <v>186.88701515151513</v>
      </c>
    </row>
    <row r="88" spans="1:14" ht="25.5" x14ac:dyDescent="0.25">
      <c r="A88" s="98" t="s">
        <v>343</v>
      </c>
      <c r="B88" s="104" t="s">
        <v>344</v>
      </c>
      <c r="C88" s="105" t="s">
        <v>230</v>
      </c>
      <c r="D88" s="105">
        <v>291.61</v>
      </c>
      <c r="E88" s="105">
        <f t="shared" si="21"/>
        <v>117.28368181818182</v>
      </c>
      <c r="F88" s="105">
        <f t="shared" si="22"/>
        <v>34201.094454999999</v>
      </c>
      <c r="G88" s="102" t="e">
        <f t="shared" si="23"/>
        <v>#DIV/0!</v>
      </c>
      <c r="H88" s="82">
        <f t="shared" si="25"/>
        <v>19209.80875</v>
      </c>
      <c r="I88" s="128">
        <f>[3]Planilha1!G57/6</f>
        <v>65.875</v>
      </c>
      <c r="J88" s="128">
        <f>J87</f>
        <v>12.809740259740259</v>
      </c>
      <c r="K88" s="128">
        <f>K87</f>
        <v>5.0893181818181823</v>
      </c>
      <c r="L88" s="82">
        <f t="shared" si="20"/>
        <v>83.774058441558452</v>
      </c>
      <c r="M88" s="82">
        <f t="shared" si="24"/>
        <v>117.28368181818182</v>
      </c>
    </row>
    <row r="89" spans="1:14" ht="25.5" x14ac:dyDescent="0.25">
      <c r="A89" s="98" t="s">
        <v>345</v>
      </c>
      <c r="B89" s="104" t="s">
        <v>346</v>
      </c>
      <c r="C89" s="105" t="s">
        <v>230</v>
      </c>
      <c r="D89" s="105">
        <v>201.75</v>
      </c>
      <c r="E89" s="105">
        <f t="shared" si="21"/>
        <v>70.353429292929277</v>
      </c>
      <c r="F89" s="105">
        <f t="shared" si="22"/>
        <v>14193.804359848482</v>
      </c>
      <c r="G89" s="102" t="e">
        <f t="shared" si="23"/>
        <v>#DIV/0!</v>
      </c>
      <c r="H89" s="82">
        <f t="shared" si="25"/>
        <v>7101.5999999999995</v>
      </c>
      <c r="I89" s="128">
        <f>[3]Planilha1!G58/6</f>
        <v>35.199999999999996</v>
      </c>
      <c r="J89" s="128">
        <f>$T$41/180</f>
        <v>9.9631313131313117</v>
      </c>
      <c r="K89" s="128">
        <f>K88</f>
        <v>5.0893181818181823</v>
      </c>
      <c r="L89" s="82">
        <f t="shared" si="20"/>
        <v>50.252449494949488</v>
      </c>
      <c r="M89" s="82">
        <f t="shared" si="24"/>
        <v>70.353429292929277</v>
      </c>
    </row>
    <row r="90" spans="1:14" ht="25.5" x14ac:dyDescent="0.25">
      <c r="A90" s="98" t="s">
        <v>347</v>
      </c>
      <c r="B90" s="104" t="s">
        <v>348</v>
      </c>
      <c r="C90" s="105" t="s">
        <v>230</v>
      </c>
      <c r="D90" s="105">
        <v>410.64</v>
      </c>
      <c r="E90" s="105">
        <f t="shared" si="21"/>
        <v>50.333429292929281</v>
      </c>
      <c r="F90" s="105">
        <f t="shared" si="22"/>
        <v>20668.919404848479</v>
      </c>
      <c r="G90" s="102" t="e">
        <f t="shared" si="23"/>
        <v>#DIV/0!</v>
      </c>
      <c r="H90" s="82">
        <f t="shared" si="25"/>
        <v>8582.3760000000002</v>
      </c>
      <c r="I90" s="128">
        <f>[3]Planilha1!G59/6</f>
        <v>20.900000000000002</v>
      </c>
      <c r="J90" s="128">
        <f>J89</f>
        <v>9.9631313131313117</v>
      </c>
      <c r="K90" s="128">
        <f>K89</f>
        <v>5.0893181818181823</v>
      </c>
      <c r="L90" s="82">
        <f t="shared" si="20"/>
        <v>35.952449494949491</v>
      </c>
      <c r="M90" s="82">
        <f t="shared" si="24"/>
        <v>50.333429292929281</v>
      </c>
    </row>
    <row r="91" spans="1:14" ht="25.5" x14ac:dyDescent="0.25">
      <c r="A91" s="98" t="s">
        <v>349</v>
      </c>
      <c r="B91" s="104" t="s">
        <v>350</v>
      </c>
      <c r="C91" s="105" t="s">
        <v>230</v>
      </c>
      <c r="D91" s="105">
        <v>7636.19</v>
      </c>
      <c r="E91" s="105">
        <f t="shared" si="21"/>
        <v>35.652095959595954</v>
      </c>
      <c r="F91" s="105">
        <f t="shared" si="22"/>
        <v>272246.17864570703</v>
      </c>
      <c r="G91" s="102" t="e">
        <f t="shared" si="23"/>
        <v>#DIV/0!</v>
      </c>
      <c r="H91" s="82">
        <f t="shared" si="25"/>
        <v>79518.191866666661</v>
      </c>
      <c r="I91" s="128">
        <f>[3]Planilha1!G60/6</f>
        <v>10.413333333333332</v>
      </c>
      <c r="J91" s="128">
        <f>J90</f>
        <v>9.9631313131313117</v>
      </c>
      <c r="K91" s="128">
        <f>K90</f>
        <v>5.0893181818181823</v>
      </c>
      <c r="L91" s="82">
        <f t="shared" si="20"/>
        <v>25.465782828282826</v>
      </c>
      <c r="M91" s="82">
        <f t="shared" si="24"/>
        <v>35.652095959595954</v>
      </c>
    </row>
    <row r="92" spans="1:14" x14ac:dyDescent="0.25">
      <c r="A92" s="98"/>
      <c r="B92" s="99" t="s">
        <v>215</v>
      </c>
      <c r="C92" s="100"/>
      <c r="D92" s="100"/>
      <c r="E92" s="100"/>
      <c r="F92" s="100">
        <f>SUM(F49:F91)</f>
        <v>572606.22803267674</v>
      </c>
      <c r="H92" s="83"/>
      <c r="I92" s="128"/>
      <c r="J92" s="128"/>
      <c r="K92" s="128"/>
    </row>
    <row r="93" spans="1:14" x14ac:dyDescent="0.25">
      <c r="A93" s="98"/>
      <c r="B93" s="99"/>
      <c r="C93" s="100"/>
      <c r="D93" s="100"/>
      <c r="E93" s="100"/>
      <c r="F93" s="100"/>
      <c r="I93" s="128"/>
      <c r="J93" s="128"/>
      <c r="K93" s="128"/>
    </row>
    <row r="94" spans="1:14" x14ac:dyDescent="0.25">
      <c r="A94" s="98">
        <v>5</v>
      </c>
      <c r="B94" s="99" t="s">
        <v>351</v>
      </c>
      <c r="C94" s="100"/>
      <c r="D94" s="100"/>
      <c r="E94" s="100"/>
      <c r="F94" s="100"/>
      <c r="I94" s="128"/>
      <c r="J94" s="128"/>
      <c r="K94" s="128"/>
    </row>
    <row r="95" spans="1:14" x14ac:dyDescent="0.25">
      <c r="A95" s="98" t="s">
        <v>54</v>
      </c>
      <c r="B95" s="99" t="s">
        <v>352</v>
      </c>
      <c r="C95" s="100" t="s">
        <v>230</v>
      </c>
      <c r="D95" s="100">
        <f>D96+D97</f>
        <v>5122.8899999999994</v>
      </c>
      <c r="E95" s="100">
        <f t="shared" ref="E95:E99" si="27">M95</f>
        <v>1.8199999999999998</v>
      </c>
      <c r="F95" s="100">
        <f t="shared" ref="F95:F100" si="28">E95*D95</f>
        <v>9323.6597999999976</v>
      </c>
      <c r="G95" s="102" t="e">
        <f t="shared" ref="G95:G98" si="29">F95/$F$119</f>
        <v>#DIV/0!</v>
      </c>
      <c r="H95" s="82">
        <f t="shared" ref="H95:H98" si="30">I95*D95</f>
        <v>1536.8669999999997</v>
      </c>
      <c r="I95" s="128">
        <v>0.3</v>
      </c>
      <c r="J95" s="128">
        <v>0.8</v>
      </c>
      <c r="K95" s="128">
        <v>0.2</v>
      </c>
      <c r="L95" s="82">
        <f t="shared" si="20"/>
        <v>1.3</v>
      </c>
      <c r="M95" s="82">
        <f t="shared" ref="M95:M99" si="31">L95*$J$11</f>
        <v>1.8199999999999998</v>
      </c>
    </row>
    <row r="96" spans="1:14" x14ac:dyDescent="0.25">
      <c r="A96" s="98" t="s">
        <v>56</v>
      </c>
      <c r="B96" s="99" t="s">
        <v>353</v>
      </c>
      <c r="C96" s="100" t="s">
        <v>230</v>
      </c>
      <c r="D96" s="100">
        <v>4784.8599999999997</v>
      </c>
      <c r="E96" s="100">
        <f t="shared" si="27"/>
        <v>69.898348484848484</v>
      </c>
      <c r="F96" s="100">
        <f t="shared" si="28"/>
        <v>334453.81173121207</v>
      </c>
      <c r="G96" s="102" t="e">
        <f t="shared" si="29"/>
        <v>#DIV/0!</v>
      </c>
      <c r="H96" s="82">
        <f t="shared" si="30"/>
        <v>153251.0910333333</v>
      </c>
      <c r="I96" s="128">
        <f>[3]Planilha1!G67/6</f>
        <v>32.028333333333329</v>
      </c>
      <c r="J96" s="128">
        <f>$T$41/140</f>
        <v>12.809740259740259</v>
      </c>
      <c r="K96" s="128">
        <f>1.5*1*K19</f>
        <v>5.0893181818181823</v>
      </c>
      <c r="L96" s="82">
        <f t="shared" si="20"/>
        <v>49.927391774891774</v>
      </c>
      <c r="M96" s="82">
        <f t="shared" si="31"/>
        <v>69.898348484848484</v>
      </c>
      <c r="N96" s="82">
        <f>184/6</f>
        <v>30.666666666666668</v>
      </c>
    </row>
    <row r="97" spans="1:14" x14ac:dyDescent="0.25">
      <c r="A97" s="98" t="s">
        <v>147</v>
      </c>
      <c r="B97" s="99" t="s">
        <v>354</v>
      </c>
      <c r="C97" s="100" t="s">
        <v>230</v>
      </c>
      <c r="D97" s="100">
        <v>338.03</v>
      </c>
      <c r="E97" s="100">
        <f t="shared" si="27"/>
        <v>102.05868181818182</v>
      </c>
      <c r="F97" s="100">
        <f t="shared" si="28"/>
        <v>34498.896215000001</v>
      </c>
      <c r="G97" s="102" t="e">
        <f t="shared" si="29"/>
        <v>#DIV/0!</v>
      </c>
      <c r="H97" s="82">
        <f t="shared" si="30"/>
        <v>18591.649999999998</v>
      </c>
      <c r="I97" s="128">
        <f>[3]Planilha1!G68/6</f>
        <v>55</v>
      </c>
      <c r="J97" s="128">
        <f>J96</f>
        <v>12.809740259740259</v>
      </c>
      <c r="K97" s="128">
        <f>K96</f>
        <v>5.0893181818181823</v>
      </c>
      <c r="L97" s="82">
        <f t="shared" si="20"/>
        <v>72.899058441558452</v>
      </c>
      <c r="M97" s="82">
        <f t="shared" si="31"/>
        <v>102.05868181818182</v>
      </c>
      <c r="N97" s="82">
        <f>300/6</f>
        <v>50</v>
      </c>
    </row>
    <row r="98" spans="1:14" ht="25.5" x14ac:dyDescent="0.25">
      <c r="A98" s="98" t="s">
        <v>148</v>
      </c>
      <c r="B98" s="99" t="s">
        <v>355</v>
      </c>
      <c r="C98" s="100" t="s">
        <v>250</v>
      </c>
      <c r="D98" s="100">
        <v>66</v>
      </c>
      <c r="E98" s="100">
        <f t="shared" si="27"/>
        <v>4163.8989199668749</v>
      </c>
      <c r="F98" s="100">
        <f t="shared" si="28"/>
        <v>274817.32871781377</v>
      </c>
      <c r="G98" s="102" t="e">
        <f t="shared" si="29"/>
        <v>#DIV/0!</v>
      </c>
      <c r="H98" s="82">
        <f t="shared" si="30"/>
        <v>147981.95344129554</v>
      </c>
      <c r="I98" s="128">
        <f>I41</f>
        <v>2242.1508097165993</v>
      </c>
      <c r="J98" s="128">
        <f>J41</f>
        <v>700</v>
      </c>
      <c r="K98" s="128">
        <f>K41</f>
        <v>32.062704545454544</v>
      </c>
      <c r="L98" s="82">
        <f t="shared" si="20"/>
        <v>2974.2135142620536</v>
      </c>
      <c r="M98" s="82">
        <f t="shared" si="31"/>
        <v>4163.8989199668749</v>
      </c>
    </row>
    <row r="99" spans="1:14" x14ac:dyDescent="0.25">
      <c r="A99" s="98" t="s">
        <v>149</v>
      </c>
      <c r="B99" s="99" t="s">
        <v>356</v>
      </c>
      <c r="C99" s="100" t="s">
        <v>168</v>
      </c>
      <c r="D99" s="100">
        <v>1</v>
      </c>
      <c r="E99" s="100">
        <f t="shared" si="27"/>
        <v>126828.716</v>
      </c>
      <c r="F99" s="100">
        <f t="shared" si="28"/>
        <v>126828.716</v>
      </c>
      <c r="G99" s="102"/>
      <c r="H99" s="82">
        <f>I99</f>
        <v>90591.94</v>
      </c>
      <c r="I99" s="128">
        <v>90591.94</v>
      </c>
      <c r="J99" s="128">
        <v>0</v>
      </c>
      <c r="K99" s="128">
        <v>0</v>
      </c>
      <c r="L99" s="82">
        <f t="shared" si="20"/>
        <v>90591.94</v>
      </c>
      <c r="M99" s="82">
        <f t="shared" si="31"/>
        <v>126828.716</v>
      </c>
    </row>
    <row r="100" spans="1:14" x14ac:dyDescent="0.25">
      <c r="A100" s="98" t="s">
        <v>150</v>
      </c>
      <c r="B100" s="99" t="s">
        <v>357</v>
      </c>
      <c r="C100" s="100" t="s">
        <v>250</v>
      </c>
      <c r="D100" s="100">
        <v>667</v>
      </c>
      <c r="E100" s="100">
        <v>165</v>
      </c>
      <c r="F100" s="100">
        <f t="shared" si="28"/>
        <v>110055</v>
      </c>
      <c r="G100" s="102"/>
      <c r="I100" s="128"/>
      <c r="J100" s="128"/>
      <c r="K100" s="128"/>
    </row>
    <row r="101" spans="1:14" x14ac:dyDescent="0.25">
      <c r="A101" s="98"/>
      <c r="B101" s="99" t="s">
        <v>215</v>
      </c>
      <c r="C101" s="100"/>
      <c r="D101" s="100"/>
      <c r="E101" s="100"/>
      <c r="F101" s="100">
        <f>SUM(F94:F100)</f>
        <v>889977.4124640259</v>
      </c>
      <c r="I101" s="128"/>
      <c r="J101" s="128"/>
      <c r="K101" s="128"/>
    </row>
    <row r="102" spans="1:14" x14ac:dyDescent="0.25">
      <c r="A102" s="98"/>
      <c r="B102" s="99"/>
      <c r="C102" s="100"/>
      <c r="D102" s="100"/>
      <c r="E102" s="100"/>
      <c r="F102" s="100"/>
      <c r="I102" s="128"/>
      <c r="J102" s="128"/>
      <c r="K102" s="128"/>
    </row>
    <row r="103" spans="1:14" x14ac:dyDescent="0.25">
      <c r="A103" s="98">
        <v>6</v>
      </c>
      <c r="B103" s="99" t="s">
        <v>358</v>
      </c>
      <c r="C103" s="100"/>
      <c r="D103" s="100"/>
      <c r="E103" s="100"/>
      <c r="F103" s="100"/>
      <c r="I103" s="128"/>
      <c r="J103" s="128"/>
      <c r="K103" s="128"/>
    </row>
    <row r="104" spans="1:14" x14ac:dyDescent="0.25">
      <c r="A104" s="98" t="s">
        <v>58</v>
      </c>
      <c r="B104" s="99" t="s">
        <v>359</v>
      </c>
      <c r="C104" s="100" t="s">
        <v>168</v>
      </c>
      <c r="D104" s="100">
        <v>1</v>
      </c>
      <c r="E104" s="100">
        <f>G116*0.025</f>
        <v>200353.21371199941</v>
      </c>
      <c r="F104" s="100">
        <f t="shared" ref="F104:F109" si="32">E104*D104</f>
        <v>200353.21371199941</v>
      </c>
      <c r="G104" s="102">
        <f>F104/$F$116</f>
        <v>2.5032854173409967E-2</v>
      </c>
      <c r="H104" s="82">
        <f t="shared" ref="H104:H109" si="33">I104*D104</f>
        <v>0</v>
      </c>
      <c r="I104" s="128"/>
      <c r="J104" s="128"/>
      <c r="K104" s="128"/>
      <c r="L104" s="82">
        <f t="shared" ref="L104:L109" si="34">SUM(I104:K104)</f>
        <v>0</v>
      </c>
      <c r="M104" s="82">
        <f t="shared" ref="M104:M109" si="35">L104*$J$11</f>
        <v>0</v>
      </c>
    </row>
    <row r="105" spans="1:14" x14ac:dyDescent="0.25">
      <c r="A105" s="98"/>
      <c r="B105" s="99" t="s">
        <v>215</v>
      </c>
      <c r="C105" s="100"/>
      <c r="D105" s="100"/>
      <c r="E105" s="100"/>
      <c r="F105" s="100">
        <f>SUM(F104)</f>
        <v>200353.21371199941</v>
      </c>
      <c r="I105" s="128"/>
      <c r="J105" s="128"/>
      <c r="K105" s="128"/>
      <c r="L105" s="82">
        <f t="shared" si="34"/>
        <v>0</v>
      </c>
      <c r="M105" s="82">
        <f t="shared" si="35"/>
        <v>0</v>
      </c>
    </row>
    <row r="106" spans="1:14" x14ac:dyDescent="0.25">
      <c r="A106" s="98"/>
      <c r="B106" s="99"/>
      <c r="C106" s="100"/>
      <c r="D106" s="100"/>
      <c r="E106" s="100"/>
      <c r="F106" s="100"/>
      <c r="I106" s="128"/>
      <c r="J106" s="128"/>
      <c r="K106" s="128"/>
    </row>
    <row r="107" spans="1:14" x14ac:dyDescent="0.25">
      <c r="A107" s="98">
        <v>7</v>
      </c>
      <c r="B107" s="99" t="s">
        <v>360</v>
      </c>
      <c r="C107" s="100"/>
      <c r="D107" s="100"/>
      <c r="E107" s="100"/>
      <c r="F107" s="100"/>
      <c r="I107" s="128"/>
      <c r="J107" s="128"/>
      <c r="K107" s="128"/>
    </row>
    <row r="108" spans="1:14" x14ac:dyDescent="0.25">
      <c r="A108" s="98" t="s">
        <v>68</v>
      </c>
      <c r="B108" s="99" t="s">
        <v>361</v>
      </c>
      <c r="C108" s="100" t="s">
        <v>98</v>
      </c>
      <c r="D108" s="100">
        <v>1072.8800000000001</v>
      </c>
      <c r="E108" s="100">
        <f>M108</f>
        <v>73.08</v>
      </c>
      <c r="F108" s="100">
        <f t="shared" si="32"/>
        <v>78406.070400000011</v>
      </c>
      <c r="H108" s="82">
        <f t="shared" si="33"/>
        <v>37765.376000000004</v>
      </c>
      <c r="I108" s="128">
        <f>440*0.08</f>
        <v>35.200000000000003</v>
      </c>
      <c r="J108" s="128">
        <v>15</v>
      </c>
      <c r="K108" s="128">
        <v>2</v>
      </c>
      <c r="L108" s="82">
        <f t="shared" si="34"/>
        <v>52.2</v>
      </c>
      <c r="M108" s="82">
        <f t="shared" si="35"/>
        <v>73.08</v>
      </c>
    </row>
    <row r="109" spans="1:14" ht="25.5" x14ac:dyDescent="0.25">
      <c r="A109" s="98" t="s">
        <v>90</v>
      </c>
      <c r="B109" s="106" t="s">
        <v>362</v>
      </c>
      <c r="C109" s="107" t="s">
        <v>250</v>
      </c>
      <c r="D109" s="100">
        <v>75</v>
      </c>
      <c r="E109" s="100">
        <f>M109</f>
        <v>503.99999999999994</v>
      </c>
      <c r="F109" s="100">
        <f t="shared" si="32"/>
        <v>37799.999999999993</v>
      </c>
      <c r="H109" s="82">
        <f t="shared" si="33"/>
        <v>19125</v>
      </c>
      <c r="I109" s="128">
        <f>135+120</f>
        <v>255</v>
      </c>
      <c r="J109" s="128">
        <v>100</v>
      </c>
      <c r="K109" s="128">
        <v>5</v>
      </c>
      <c r="L109" s="82">
        <f t="shared" si="34"/>
        <v>360</v>
      </c>
      <c r="M109" s="82">
        <f t="shared" si="35"/>
        <v>503.99999999999994</v>
      </c>
    </row>
    <row r="110" spans="1:14" x14ac:dyDescent="0.25">
      <c r="A110" s="98"/>
      <c r="B110" s="99" t="s">
        <v>215</v>
      </c>
      <c r="C110" s="100"/>
      <c r="D110" s="100"/>
      <c r="E110" s="100"/>
      <c r="F110" s="100">
        <f>SUM(F108:F109)</f>
        <v>116206.0704</v>
      </c>
      <c r="I110" s="128"/>
      <c r="J110" s="128"/>
      <c r="K110" s="128"/>
    </row>
    <row r="111" spans="1:14" x14ac:dyDescent="0.25">
      <c r="A111" s="98"/>
      <c r="B111" s="99"/>
      <c r="C111" s="100"/>
      <c r="D111" s="100"/>
      <c r="E111" s="100"/>
      <c r="F111" s="100"/>
      <c r="I111" s="128"/>
      <c r="J111" s="128"/>
      <c r="K111" s="128"/>
    </row>
    <row r="112" spans="1:14" x14ac:dyDescent="0.25">
      <c r="A112" s="108">
        <v>10</v>
      </c>
      <c r="B112" s="109" t="s">
        <v>363</v>
      </c>
      <c r="C112" s="110"/>
      <c r="D112" s="110"/>
      <c r="E112" s="110"/>
      <c r="F112" s="110"/>
      <c r="G112" s="83"/>
      <c r="I112" s="128"/>
      <c r="J112" s="128"/>
      <c r="K112" s="128"/>
    </row>
    <row r="113" spans="1:11" x14ac:dyDescent="0.25">
      <c r="A113" s="108" t="s">
        <v>364</v>
      </c>
      <c r="B113" s="109" t="s">
        <v>365</v>
      </c>
      <c r="C113" s="110" t="s">
        <v>168</v>
      </c>
      <c r="D113" s="111">
        <f>H116</f>
        <v>3270773.6436116179</v>
      </c>
      <c r="E113" s="111">
        <f>H117*-1</f>
        <v>-327077.36436116183</v>
      </c>
      <c r="F113" s="110">
        <f>E113</f>
        <v>-327077.36436116183</v>
      </c>
      <c r="I113" s="128"/>
      <c r="J113" s="128"/>
      <c r="K113" s="128"/>
    </row>
    <row r="114" spans="1:11" x14ac:dyDescent="0.25">
      <c r="A114" s="108"/>
      <c r="B114" s="112" t="s">
        <v>215</v>
      </c>
      <c r="C114" s="113"/>
      <c r="D114" s="113"/>
      <c r="E114" s="113"/>
      <c r="F114" s="113">
        <f>SUM(F113)</f>
        <v>-327077.36436116183</v>
      </c>
      <c r="I114" s="128"/>
      <c r="J114" s="128"/>
      <c r="K114" s="128"/>
    </row>
    <row r="115" spans="1:11" x14ac:dyDescent="0.25">
      <c r="A115" s="114"/>
      <c r="B115" s="115"/>
      <c r="C115" s="116"/>
      <c r="D115" s="116"/>
      <c r="E115" s="116"/>
      <c r="F115" s="116"/>
    </row>
    <row r="116" spans="1:11" x14ac:dyDescent="0.25">
      <c r="A116" s="92"/>
      <c r="B116" s="93"/>
      <c r="C116" s="94"/>
      <c r="D116" s="94"/>
      <c r="E116" s="94"/>
      <c r="F116" s="94">
        <f>SUM(F16:F115)/2</f>
        <v>8003610.4682308137</v>
      </c>
      <c r="G116" s="117">
        <f>SUM(F16:F101)/2</f>
        <v>8014128.5484799761</v>
      </c>
      <c r="H116" s="82">
        <f>SUM(H10:H105)</f>
        <v>3270773.6436116179</v>
      </c>
    </row>
    <row r="117" spans="1:11" x14ac:dyDescent="0.25">
      <c r="H117" s="82">
        <f>H116*0.1</f>
        <v>327077.36436116183</v>
      </c>
    </row>
    <row r="141" spans="1:6" x14ac:dyDescent="0.25">
      <c r="A141" s="325" t="s">
        <v>366</v>
      </c>
      <c r="B141" s="325"/>
      <c r="C141" s="325"/>
      <c r="D141" s="325"/>
      <c r="E141" s="325"/>
      <c r="F141" s="325"/>
    </row>
    <row r="142" spans="1:6" x14ac:dyDescent="0.25">
      <c r="A142" s="325" t="s">
        <v>367</v>
      </c>
      <c r="B142" s="325"/>
      <c r="C142" s="325"/>
      <c r="D142" s="325"/>
      <c r="E142" s="325"/>
      <c r="F142" s="325"/>
    </row>
    <row r="143" spans="1:6" x14ac:dyDescent="0.25">
      <c r="F143" s="82">
        <f>F116-H116</f>
        <v>4732836.8246191964</v>
      </c>
    </row>
    <row r="144" spans="1:6" x14ac:dyDescent="0.25">
      <c r="F144" s="82">
        <f>F143/12</f>
        <v>394403.06871826638</v>
      </c>
    </row>
    <row r="145" spans="6:10" x14ac:dyDescent="0.25">
      <c r="F145" s="82">
        <f>F144*M11</f>
        <v>67330.238159761182</v>
      </c>
    </row>
    <row r="146" spans="6:10" x14ac:dyDescent="0.25">
      <c r="F146" s="83"/>
    </row>
    <row r="151" spans="6:10" x14ac:dyDescent="0.25">
      <c r="H151" s="326" t="s">
        <v>368</v>
      </c>
      <c r="I151" s="326"/>
      <c r="J151" s="326"/>
    </row>
    <row r="152" spans="6:10" x14ac:dyDescent="0.25">
      <c r="H152" s="82">
        <v>5</v>
      </c>
      <c r="I152" s="82">
        <v>8</v>
      </c>
      <c r="J152" s="82">
        <f>I152*H152</f>
        <v>40</v>
      </c>
    </row>
    <row r="153" spans="6:10" x14ac:dyDescent="0.25">
      <c r="H153" s="82">
        <v>4</v>
      </c>
      <c r="I153" s="82">
        <v>6</v>
      </c>
      <c r="J153" s="82">
        <f t="shared" ref="J153:J158" si="36">I153*H153</f>
        <v>24</v>
      </c>
    </row>
    <row r="154" spans="6:10" x14ac:dyDescent="0.25">
      <c r="H154" s="82">
        <v>4</v>
      </c>
      <c r="I154" s="82">
        <v>1</v>
      </c>
      <c r="J154" s="82">
        <f t="shared" si="36"/>
        <v>4</v>
      </c>
    </row>
    <row r="155" spans="6:10" x14ac:dyDescent="0.25">
      <c r="H155" s="82">
        <v>2</v>
      </c>
      <c r="I155" s="82">
        <v>1</v>
      </c>
      <c r="J155" s="82">
        <f t="shared" si="36"/>
        <v>2</v>
      </c>
    </row>
    <row r="156" spans="6:10" x14ac:dyDescent="0.25">
      <c r="H156" s="82">
        <v>5</v>
      </c>
      <c r="I156" s="82">
        <v>8</v>
      </c>
      <c r="J156" s="82">
        <f t="shared" si="36"/>
        <v>40</v>
      </c>
    </row>
    <row r="157" spans="6:10" x14ac:dyDescent="0.25">
      <c r="H157" s="82">
        <v>1</v>
      </c>
      <c r="I157" s="82">
        <v>6</v>
      </c>
      <c r="J157" s="82">
        <f t="shared" si="36"/>
        <v>6</v>
      </c>
    </row>
    <row r="158" spans="6:10" x14ac:dyDescent="0.25">
      <c r="H158" s="82">
        <v>1</v>
      </c>
      <c r="I158" s="82">
        <v>26</v>
      </c>
      <c r="J158" s="82">
        <f t="shared" si="36"/>
        <v>26</v>
      </c>
    </row>
    <row r="159" spans="6:10" x14ac:dyDescent="0.25">
      <c r="J159" s="82">
        <f>SUM(J152:J158)</f>
        <v>142</v>
      </c>
    </row>
  </sheetData>
  <mergeCells count="5">
    <mergeCell ref="A6:F6"/>
    <mergeCell ref="B11:F11"/>
    <mergeCell ref="A141:F141"/>
    <mergeCell ref="A142:F142"/>
    <mergeCell ref="H151:J151"/>
  </mergeCells>
  <printOptions horizontalCentered="1"/>
  <pageMargins left="0.55118110236220474" right="0.55118110236220474" top="0.59055118110236227" bottom="0.59055118110236227" header="0.51181102362204722" footer="0.51181102362204722"/>
  <pageSetup paperSize="256" scale="96" fitToHeight="0" orientation="portrait" useFirstPageNumber="1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6002-04EA-46AF-98C7-ED9C419762B2}">
  <sheetPr>
    <pageSetUpPr fitToPage="1"/>
  </sheetPr>
  <dimension ref="A1:S115"/>
  <sheetViews>
    <sheetView showGridLines="0" view="pageBreakPreview" topLeftCell="A61" zoomScale="70" zoomScaleNormal="70" zoomScaleSheetLayoutView="70" workbookViewId="0">
      <selection activeCell="N36" sqref="N36"/>
    </sheetView>
  </sheetViews>
  <sheetFormatPr defaultColWidth="8.85546875" defaultRowHeight="14.25" x14ac:dyDescent="0.2"/>
  <cols>
    <col min="1" max="1" width="6.7109375" style="130" customWidth="1"/>
    <col min="2" max="2" width="61.28515625" style="123" customWidth="1"/>
    <col min="3" max="3" width="15.42578125" style="131" hidden="1" customWidth="1"/>
    <col min="4" max="4" width="14.85546875" style="131" hidden="1" customWidth="1"/>
    <col min="5" max="5" width="16.7109375" style="132" customWidth="1"/>
    <col min="6" max="8" width="17.5703125" style="132" customWidth="1"/>
    <col min="9" max="9" width="1.5703125" style="123" customWidth="1"/>
    <col min="10" max="16" width="14.28515625" style="133" customWidth="1"/>
    <col min="17" max="17" width="8.85546875" style="123"/>
    <col min="18" max="18" width="12.42578125" style="123" bestFit="1" customWidth="1"/>
    <col min="19" max="16384" width="8.85546875" style="123"/>
  </cols>
  <sheetData>
    <row r="1" spans="1:16" ht="22.15" customHeight="1" thickBot="1" x14ac:dyDescent="0.25"/>
    <row r="2" spans="1:16" s="135" customFormat="1" ht="32.450000000000003" customHeight="1" thickBot="1" x14ac:dyDescent="0.3">
      <c r="A2" s="134"/>
      <c r="B2" s="327" t="s">
        <v>386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</row>
    <row r="3" spans="1:16" ht="22.15" customHeight="1" thickBot="1" x14ac:dyDescent="0.25">
      <c r="B3" s="196"/>
      <c r="C3" s="197"/>
      <c r="D3" s="197"/>
      <c r="E3" s="198"/>
      <c r="F3" s="198"/>
      <c r="G3" s="198"/>
      <c r="H3" s="198"/>
      <c r="I3" s="183"/>
      <c r="J3" s="199"/>
      <c r="K3" s="199"/>
      <c r="L3" s="199"/>
      <c r="M3" s="199"/>
      <c r="N3" s="199"/>
      <c r="O3" s="199"/>
      <c r="P3" s="199"/>
    </row>
    <row r="4" spans="1:16" s="137" customFormat="1" ht="25.15" customHeight="1" thickBot="1" x14ac:dyDescent="0.3">
      <c r="A4" s="136"/>
      <c r="B4" s="329" t="s">
        <v>387</v>
      </c>
      <c r="C4" s="330"/>
      <c r="D4" s="330"/>
      <c r="E4" s="330"/>
      <c r="F4" s="330"/>
      <c r="G4" s="330"/>
      <c r="H4" s="331"/>
      <c r="I4" s="188"/>
      <c r="J4" s="332" t="s">
        <v>396</v>
      </c>
      <c r="K4" s="330"/>
      <c r="L4" s="330"/>
      <c r="M4" s="330"/>
      <c r="N4" s="330"/>
      <c r="O4" s="330"/>
      <c r="P4" s="333"/>
    </row>
    <row r="5" spans="1:16" s="139" customFormat="1" ht="7.15" customHeight="1" thickBot="1" x14ac:dyDescent="0.25">
      <c r="A5" s="138"/>
      <c r="B5" s="189"/>
      <c r="C5" s="190"/>
      <c r="D5" s="190"/>
      <c r="E5" s="191"/>
      <c r="F5" s="191"/>
      <c r="G5" s="191"/>
      <c r="H5" s="191"/>
      <c r="J5" s="192"/>
      <c r="K5" s="192"/>
      <c r="L5" s="192"/>
      <c r="M5" s="192"/>
      <c r="N5" s="192"/>
      <c r="O5" s="192"/>
      <c r="P5" s="193"/>
    </row>
    <row r="6" spans="1:16" s="140" customFormat="1" ht="21" customHeight="1" x14ac:dyDescent="0.25">
      <c r="B6" s="166" t="s">
        <v>388</v>
      </c>
      <c r="C6" s="167"/>
      <c r="D6" s="167"/>
      <c r="E6" s="168"/>
      <c r="F6" s="168"/>
      <c r="G6" s="168"/>
      <c r="H6" s="169"/>
      <c r="I6" s="170"/>
      <c r="J6" s="171" t="s">
        <v>373</v>
      </c>
      <c r="K6" s="172" t="s">
        <v>374</v>
      </c>
      <c r="L6" s="172" t="s">
        <v>375</v>
      </c>
      <c r="M6" s="172" t="s">
        <v>376</v>
      </c>
      <c r="N6" s="172" t="s">
        <v>377</v>
      </c>
      <c r="O6" s="172" t="s">
        <v>441</v>
      </c>
      <c r="P6" s="172" t="s">
        <v>442</v>
      </c>
    </row>
    <row r="7" spans="1:16" s="145" customFormat="1" ht="24" customHeight="1" x14ac:dyDescent="0.25">
      <c r="A7" s="141"/>
      <c r="B7" s="187" t="s">
        <v>389</v>
      </c>
      <c r="C7" s="142" t="s">
        <v>390</v>
      </c>
      <c r="D7" s="142"/>
      <c r="E7" s="143" t="s">
        <v>391</v>
      </c>
      <c r="F7" s="143" t="s">
        <v>392</v>
      </c>
      <c r="G7" s="143" t="s">
        <v>396</v>
      </c>
      <c r="H7" s="144" t="s">
        <v>393</v>
      </c>
      <c r="J7" s="146">
        <f>SUM(J8:J13)</f>
        <v>13</v>
      </c>
      <c r="K7" s="147">
        <f>SUM(K8:K13)</f>
        <v>2</v>
      </c>
      <c r="L7" s="147">
        <f>SUM(L8:L13)</f>
        <v>2</v>
      </c>
      <c r="M7" s="147">
        <f>SUM(M8:M13)</f>
        <v>2</v>
      </c>
      <c r="N7" s="147">
        <f t="shared" ref="N7:O7" si="0">SUM(N8:N13)</f>
        <v>2</v>
      </c>
      <c r="O7" s="147">
        <f t="shared" si="0"/>
        <v>2</v>
      </c>
      <c r="P7" s="174">
        <f>SUM(P8:P13)</f>
        <v>2</v>
      </c>
    </row>
    <row r="8" spans="1:16" x14ac:dyDescent="0.2">
      <c r="B8" s="175" t="s">
        <v>394</v>
      </c>
      <c r="C8" s="149" t="s">
        <v>395</v>
      </c>
      <c r="D8" s="149"/>
      <c r="E8" s="150" t="s">
        <v>396</v>
      </c>
      <c r="F8" s="150">
        <v>1</v>
      </c>
      <c r="G8" s="150">
        <f t="shared" ref="G8:G13" si="1">COUNTA(J8:P8)</f>
        <v>7</v>
      </c>
      <c r="H8" s="151">
        <f t="shared" ref="H8:H13" si="2">G8*F8</f>
        <v>7</v>
      </c>
      <c r="J8" s="152">
        <v>1</v>
      </c>
      <c r="K8" s="153">
        <v>1</v>
      </c>
      <c r="L8" s="153">
        <v>1</v>
      </c>
      <c r="M8" s="153">
        <v>1</v>
      </c>
      <c r="N8" s="153">
        <v>1</v>
      </c>
      <c r="O8" s="153">
        <v>1</v>
      </c>
      <c r="P8" s="176">
        <v>1</v>
      </c>
    </row>
    <row r="9" spans="1:16" x14ac:dyDescent="0.2">
      <c r="B9" s="175" t="s">
        <v>397</v>
      </c>
      <c r="C9" s="149" t="s">
        <v>395</v>
      </c>
      <c r="D9" s="149"/>
      <c r="E9" s="150" t="s">
        <v>396</v>
      </c>
      <c r="F9" s="150">
        <v>1</v>
      </c>
      <c r="G9" s="150">
        <f t="shared" si="1"/>
        <v>7</v>
      </c>
      <c r="H9" s="151">
        <f t="shared" si="2"/>
        <v>7</v>
      </c>
      <c r="J9" s="152">
        <v>1</v>
      </c>
      <c r="K9" s="153">
        <v>1</v>
      </c>
      <c r="L9" s="153">
        <v>1</v>
      </c>
      <c r="M9" s="153">
        <v>1</v>
      </c>
      <c r="N9" s="153">
        <v>1</v>
      </c>
      <c r="O9" s="153">
        <v>1</v>
      </c>
      <c r="P9" s="176">
        <v>1</v>
      </c>
    </row>
    <row r="10" spans="1:16" x14ac:dyDescent="0.2">
      <c r="B10" s="175" t="s">
        <v>398</v>
      </c>
      <c r="C10" s="149" t="s">
        <v>395</v>
      </c>
      <c r="D10" s="149"/>
      <c r="E10" s="150" t="s">
        <v>396</v>
      </c>
      <c r="F10" s="150">
        <v>2</v>
      </c>
      <c r="G10" s="150">
        <f t="shared" si="1"/>
        <v>1</v>
      </c>
      <c r="H10" s="151">
        <f t="shared" si="2"/>
        <v>2</v>
      </c>
      <c r="J10" s="152">
        <v>2</v>
      </c>
      <c r="K10" s="153"/>
      <c r="L10" s="153"/>
      <c r="M10" s="153"/>
      <c r="N10" s="257"/>
      <c r="O10" s="257"/>
      <c r="P10" s="176"/>
    </row>
    <row r="11" spans="1:16" x14ac:dyDescent="0.2">
      <c r="B11" s="175" t="s">
        <v>241</v>
      </c>
      <c r="C11" s="149" t="s">
        <v>395</v>
      </c>
      <c r="D11" s="149"/>
      <c r="E11" s="150" t="s">
        <v>396</v>
      </c>
      <c r="F11" s="150">
        <v>2</v>
      </c>
      <c r="G11" s="150">
        <f t="shared" si="1"/>
        <v>1</v>
      </c>
      <c r="H11" s="151">
        <f t="shared" si="2"/>
        <v>2</v>
      </c>
      <c r="J11" s="152">
        <v>2</v>
      </c>
      <c r="K11" s="153"/>
      <c r="L11" s="153"/>
      <c r="M11" s="153"/>
      <c r="N11" s="257"/>
      <c r="O11" s="257"/>
      <c r="P11" s="176"/>
    </row>
    <row r="12" spans="1:16" x14ac:dyDescent="0.2">
      <c r="B12" s="175" t="s">
        <v>244</v>
      </c>
      <c r="C12" s="149" t="s">
        <v>395</v>
      </c>
      <c r="D12" s="149"/>
      <c r="E12" s="150" t="s">
        <v>396</v>
      </c>
      <c r="F12" s="150">
        <v>6</v>
      </c>
      <c r="G12" s="150">
        <f t="shared" si="1"/>
        <v>1</v>
      </c>
      <c r="H12" s="151">
        <f t="shared" si="2"/>
        <v>6</v>
      </c>
      <c r="J12" s="152">
        <v>6</v>
      </c>
      <c r="K12" s="153"/>
      <c r="L12" s="153"/>
      <c r="M12" s="153"/>
      <c r="N12" s="257"/>
      <c r="O12" s="257"/>
      <c r="P12" s="176"/>
    </row>
    <row r="13" spans="1:16" x14ac:dyDescent="0.2">
      <c r="B13" s="175" t="s">
        <v>399</v>
      </c>
      <c r="C13" s="149" t="s">
        <v>400</v>
      </c>
      <c r="D13" s="149"/>
      <c r="E13" s="150" t="s">
        <v>396</v>
      </c>
      <c r="F13" s="150">
        <v>1</v>
      </c>
      <c r="G13" s="150">
        <f t="shared" si="1"/>
        <v>1</v>
      </c>
      <c r="H13" s="151">
        <f t="shared" si="2"/>
        <v>1</v>
      </c>
      <c r="J13" s="152">
        <v>1</v>
      </c>
      <c r="K13" s="153"/>
      <c r="L13" s="153"/>
      <c r="M13" s="153"/>
      <c r="N13" s="257"/>
      <c r="O13" s="257"/>
      <c r="P13" s="176"/>
    </row>
    <row r="14" spans="1:16" x14ac:dyDescent="0.2">
      <c r="B14" s="175"/>
      <c r="C14" s="149"/>
      <c r="D14" s="149"/>
      <c r="E14" s="150"/>
      <c r="F14" s="150"/>
      <c r="G14" s="163"/>
      <c r="H14" s="151"/>
      <c r="J14" s="152"/>
      <c r="K14" s="153"/>
      <c r="L14" s="153"/>
      <c r="M14" s="153"/>
      <c r="N14" s="257"/>
      <c r="O14" s="257"/>
      <c r="P14" s="176"/>
    </row>
    <row r="15" spans="1:16" s="145" customFormat="1" ht="24" customHeight="1" x14ac:dyDescent="0.25">
      <c r="A15" s="141"/>
      <c r="B15" s="173" t="s">
        <v>401</v>
      </c>
      <c r="C15" s="154" t="s">
        <v>390</v>
      </c>
      <c r="D15" s="154" t="s">
        <v>402</v>
      </c>
      <c r="E15" s="147" t="s">
        <v>391</v>
      </c>
      <c r="F15" s="147" t="s">
        <v>392</v>
      </c>
      <c r="G15" s="147" t="s">
        <v>396</v>
      </c>
      <c r="H15" s="148" t="s">
        <v>393</v>
      </c>
      <c r="J15" s="146">
        <f t="shared" ref="J15:P15" si="3">SUM(J16:J19)</f>
        <v>1</v>
      </c>
      <c r="K15" s="147">
        <f t="shared" si="3"/>
        <v>1</v>
      </c>
      <c r="L15" s="147">
        <f t="shared" si="3"/>
        <v>1</v>
      </c>
      <c r="M15" s="147">
        <f t="shared" si="3"/>
        <v>1</v>
      </c>
      <c r="N15" s="147">
        <f t="shared" si="3"/>
        <v>1</v>
      </c>
      <c r="O15" s="147">
        <f t="shared" si="3"/>
        <v>1</v>
      </c>
      <c r="P15" s="174">
        <f t="shared" si="3"/>
        <v>1</v>
      </c>
    </row>
    <row r="16" spans="1:16" x14ac:dyDescent="0.2">
      <c r="B16" s="175" t="s">
        <v>403</v>
      </c>
      <c r="C16" s="149" t="s">
        <v>395</v>
      </c>
      <c r="D16" s="149"/>
      <c r="E16" s="150" t="s">
        <v>396</v>
      </c>
      <c r="F16" s="150">
        <v>3</v>
      </c>
      <c r="G16" s="150">
        <f>COUNTA(J16:P16)</f>
        <v>7</v>
      </c>
      <c r="H16" s="151">
        <f t="shared" ref="H16:H18" si="4">G16*F16</f>
        <v>21</v>
      </c>
      <c r="J16" s="152">
        <v>1</v>
      </c>
      <c r="K16" s="153">
        <v>1</v>
      </c>
      <c r="L16" s="153">
        <v>1</v>
      </c>
      <c r="M16" s="153">
        <v>1</v>
      </c>
      <c r="N16" s="153">
        <v>1</v>
      </c>
      <c r="O16" s="153">
        <v>1</v>
      </c>
      <c r="P16" s="176">
        <v>1</v>
      </c>
    </row>
    <row r="17" spans="1:16" x14ac:dyDescent="0.2">
      <c r="B17" s="175" t="s">
        <v>404</v>
      </c>
      <c r="C17" s="149" t="s">
        <v>400</v>
      </c>
      <c r="D17" s="149"/>
      <c r="E17" s="150" t="s">
        <v>396</v>
      </c>
      <c r="F17" s="150">
        <v>0</v>
      </c>
      <c r="G17" s="150">
        <f>COUNTA(J17:P17)</f>
        <v>0</v>
      </c>
      <c r="H17" s="151">
        <f t="shared" si="4"/>
        <v>0</v>
      </c>
      <c r="J17" s="152"/>
      <c r="K17" s="153"/>
      <c r="L17" s="153"/>
      <c r="M17" s="153"/>
      <c r="N17" s="257"/>
      <c r="O17" s="257"/>
      <c r="P17" s="176"/>
    </row>
    <row r="18" spans="1:16" x14ac:dyDescent="0.2">
      <c r="B18" s="175" t="s">
        <v>405</v>
      </c>
      <c r="C18" s="149" t="s">
        <v>400</v>
      </c>
      <c r="D18" s="149"/>
      <c r="E18" s="150" t="s">
        <v>396</v>
      </c>
      <c r="F18" s="150">
        <v>0</v>
      </c>
      <c r="G18" s="150">
        <f>COUNTA(J18:P18)</f>
        <v>0</v>
      </c>
      <c r="H18" s="151">
        <f t="shared" si="4"/>
        <v>0</v>
      </c>
      <c r="J18" s="152"/>
      <c r="K18" s="153"/>
      <c r="L18" s="153"/>
      <c r="M18" s="153"/>
      <c r="N18" s="257"/>
      <c r="O18" s="257"/>
      <c r="P18" s="176"/>
    </row>
    <row r="19" spans="1:16" ht="15" thickBot="1" x14ac:dyDescent="0.25">
      <c r="B19" s="179"/>
      <c r="C19" s="180"/>
      <c r="D19" s="180"/>
      <c r="E19" s="181"/>
      <c r="F19" s="181"/>
      <c r="G19" s="181"/>
      <c r="H19" s="182"/>
      <c r="I19" s="183"/>
      <c r="J19" s="184"/>
      <c r="K19" s="185"/>
      <c r="L19" s="185"/>
      <c r="M19" s="185"/>
      <c r="N19" s="258"/>
      <c r="O19" s="258"/>
      <c r="P19" s="186"/>
    </row>
    <row r="20" spans="1:16" ht="9.6" customHeight="1" thickBot="1" x14ac:dyDescent="0.25">
      <c r="B20" s="194"/>
      <c r="P20" s="195"/>
    </row>
    <row r="21" spans="1:16" s="140" customFormat="1" ht="21" customHeight="1" x14ac:dyDescent="0.25">
      <c r="B21" s="166" t="s">
        <v>407</v>
      </c>
      <c r="C21" s="167"/>
      <c r="D21" s="167"/>
      <c r="E21" s="168"/>
      <c r="F21" s="168"/>
      <c r="G21" s="168"/>
      <c r="H21" s="169"/>
      <c r="I21" s="170"/>
      <c r="J21" s="171" t="s">
        <v>373</v>
      </c>
      <c r="K21" s="172" t="s">
        <v>374</v>
      </c>
      <c r="L21" s="172" t="s">
        <v>375</v>
      </c>
      <c r="M21" s="172" t="s">
        <v>376</v>
      </c>
      <c r="N21" s="172" t="s">
        <v>377</v>
      </c>
      <c r="O21" s="172" t="s">
        <v>441</v>
      </c>
      <c r="P21" s="172" t="s">
        <v>442</v>
      </c>
    </row>
    <row r="22" spans="1:16" s="145" customFormat="1" ht="24" customHeight="1" x14ac:dyDescent="0.25">
      <c r="A22" s="141"/>
      <c r="B22" s="173" t="s">
        <v>389</v>
      </c>
      <c r="C22" s="154" t="s">
        <v>390</v>
      </c>
      <c r="D22" s="154"/>
      <c r="E22" s="147" t="s">
        <v>391</v>
      </c>
      <c r="F22" s="147" t="s">
        <v>392</v>
      </c>
      <c r="G22" s="143" t="s">
        <v>396</v>
      </c>
      <c r="H22" s="148" t="s">
        <v>393</v>
      </c>
      <c r="J22" s="146">
        <f>SUM(J23:J30)</f>
        <v>23</v>
      </c>
      <c r="K22" s="147">
        <f t="shared" ref="K22:P22" si="5">SUM(K23:K30)</f>
        <v>31</v>
      </c>
      <c r="L22" s="147">
        <f t="shared" si="5"/>
        <v>31</v>
      </c>
      <c r="M22" s="147">
        <f>SUM(M23:M30)</f>
        <v>0</v>
      </c>
      <c r="N22" s="147">
        <f t="shared" ref="N22:O22" si="6">SUM(N23:N30)</f>
        <v>0</v>
      </c>
      <c r="O22" s="147">
        <f t="shared" si="6"/>
        <v>0</v>
      </c>
      <c r="P22" s="174">
        <f t="shared" si="5"/>
        <v>0</v>
      </c>
    </row>
    <row r="23" spans="1:16" x14ac:dyDescent="0.2">
      <c r="B23" s="175" t="s">
        <v>408</v>
      </c>
      <c r="C23" s="149" t="s">
        <v>395</v>
      </c>
      <c r="D23" s="149"/>
      <c r="E23" s="150" t="s">
        <v>396</v>
      </c>
      <c r="F23" s="150">
        <v>2</v>
      </c>
      <c r="G23" s="150">
        <f t="shared" ref="G23:G30" si="7">COUNTA(J23:P23)</f>
        <v>3</v>
      </c>
      <c r="H23" s="151">
        <f t="shared" ref="H23:H30" si="8">G23*F23</f>
        <v>6</v>
      </c>
      <c r="J23" s="152">
        <v>2</v>
      </c>
      <c r="K23" s="153">
        <v>2</v>
      </c>
      <c r="L23" s="153">
        <v>2</v>
      </c>
      <c r="M23" s="153"/>
      <c r="N23" s="257"/>
      <c r="O23" s="257"/>
      <c r="P23" s="176"/>
    </row>
    <row r="24" spans="1:16" x14ac:dyDescent="0.2">
      <c r="B24" s="175" t="s">
        <v>398</v>
      </c>
      <c r="C24" s="149" t="s">
        <v>395</v>
      </c>
      <c r="D24" s="149"/>
      <c r="E24" s="150" t="s">
        <v>396</v>
      </c>
      <c r="F24" s="150">
        <v>8</v>
      </c>
      <c r="G24" s="150">
        <f t="shared" si="7"/>
        <v>3</v>
      </c>
      <c r="H24" s="151">
        <f t="shared" si="8"/>
        <v>24</v>
      </c>
      <c r="J24" s="152">
        <v>8</v>
      </c>
      <c r="K24" s="153">
        <v>8</v>
      </c>
      <c r="L24" s="153">
        <v>8</v>
      </c>
      <c r="M24" s="153"/>
      <c r="N24" s="257"/>
      <c r="O24" s="257"/>
      <c r="P24" s="176"/>
    </row>
    <row r="25" spans="1:16" x14ac:dyDescent="0.2">
      <c r="B25" s="175" t="s">
        <v>241</v>
      </c>
      <c r="C25" s="149" t="s">
        <v>395</v>
      </c>
      <c r="D25" s="149"/>
      <c r="E25" s="150" t="s">
        <v>396</v>
      </c>
      <c r="F25" s="150">
        <v>4</v>
      </c>
      <c r="G25" s="150">
        <f t="shared" si="7"/>
        <v>2</v>
      </c>
      <c r="H25" s="151">
        <f t="shared" si="8"/>
        <v>8</v>
      </c>
      <c r="J25" s="152"/>
      <c r="K25" s="153">
        <v>4</v>
      </c>
      <c r="L25" s="153">
        <v>4</v>
      </c>
      <c r="M25" s="153"/>
      <c r="N25" s="257"/>
      <c r="O25" s="257"/>
      <c r="P25" s="176"/>
    </row>
    <row r="26" spans="1:16" x14ac:dyDescent="0.2">
      <c r="B26" s="175" t="s">
        <v>409</v>
      </c>
      <c r="C26" s="149" t="s">
        <v>395</v>
      </c>
      <c r="D26" s="149"/>
      <c r="E26" s="150" t="s">
        <v>396</v>
      </c>
      <c r="F26" s="150">
        <v>4</v>
      </c>
      <c r="G26" s="150">
        <f t="shared" si="7"/>
        <v>2</v>
      </c>
      <c r="H26" s="151">
        <f t="shared" si="8"/>
        <v>8</v>
      </c>
      <c r="J26" s="152"/>
      <c r="K26" s="153">
        <v>4</v>
      </c>
      <c r="L26" s="153">
        <v>4</v>
      </c>
      <c r="M26" s="153"/>
      <c r="N26" s="257"/>
      <c r="O26" s="257"/>
      <c r="P26" s="176"/>
    </row>
    <row r="27" spans="1:16" x14ac:dyDescent="0.2">
      <c r="B27" s="175" t="s">
        <v>244</v>
      </c>
      <c r="C27" s="149" t="s">
        <v>395</v>
      </c>
      <c r="D27" s="149"/>
      <c r="E27" s="150" t="s">
        <v>396</v>
      </c>
      <c r="F27" s="150">
        <v>8</v>
      </c>
      <c r="G27" s="150">
        <f t="shared" si="7"/>
        <v>3</v>
      </c>
      <c r="H27" s="151">
        <f t="shared" si="8"/>
        <v>24</v>
      </c>
      <c r="J27" s="152">
        <v>8</v>
      </c>
      <c r="K27" s="153">
        <v>8</v>
      </c>
      <c r="L27" s="153">
        <v>8</v>
      </c>
      <c r="M27" s="153"/>
      <c r="N27" s="257"/>
      <c r="O27" s="257"/>
      <c r="P27" s="176"/>
    </row>
    <row r="28" spans="1:16" x14ac:dyDescent="0.2">
      <c r="B28" s="175" t="s">
        <v>434</v>
      </c>
      <c r="C28" s="149"/>
      <c r="D28" s="149"/>
      <c r="E28" s="150" t="s">
        <v>396</v>
      </c>
      <c r="F28" s="150">
        <v>1</v>
      </c>
      <c r="G28" s="150">
        <f t="shared" si="7"/>
        <v>3</v>
      </c>
      <c r="H28" s="151">
        <f t="shared" si="8"/>
        <v>3</v>
      </c>
      <c r="J28" s="152">
        <v>1</v>
      </c>
      <c r="K28" s="153">
        <v>1</v>
      </c>
      <c r="L28" s="153">
        <v>1</v>
      </c>
      <c r="M28" s="153"/>
      <c r="N28" s="257"/>
      <c r="O28" s="257"/>
      <c r="P28" s="176"/>
    </row>
    <row r="29" spans="1:16" x14ac:dyDescent="0.2">
      <c r="B29" s="175" t="s">
        <v>410</v>
      </c>
      <c r="C29" s="149" t="s">
        <v>395</v>
      </c>
      <c r="D29" s="149"/>
      <c r="E29" s="150" t="s">
        <v>396</v>
      </c>
      <c r="F29" s="150">
        <v>2</v>
      </c>
      <c r="G29" s="150">
        <f t="shared" si="7"/>
        <v>3</v>
      </c>
      <c r="H29" s="151">
        <f t="shared" si="8"/>
        <v>6</v>
      </c>
      <c r="J29" s="152">
        <v>2</v>
      </c>
      <c r="K29" s="153">
        <v>2</v>
      </c>
      <c r="L29" s="153">
        <v>2</v>
      </c>
      <c r="M29" s="153"/>
      <c r="N29" s="257"/>
      <c r="O29" s="257"/>
      <c r="P29" s="176"/>
    </row>
    <row r="30" spans="1:16" x14ac:dyDescent="0.2">
      <c r="B30" s="175" t="s">
        <v>411</v>
      </c>
      <c r="C30" s="149" t="s">
        <v>395</v>
      </c>
      <c r="D30" s="149"/>
      <c r="E30" s="150" t="s">
        <v>396</v>
      </c>
      <c r="F30" s="150">
        <v>2</v>
      </c>
      <c r="G30" s="150">
        <f t="shared" si="7"/>
        <v>3</v>
      </c>
      <c r="H30" s="151">
        <f t="shared" si="8"/>
        <v>6</v>
      </c>
      <c r="J30" s="152">
        <v>2</v>
      </c>
      <c r="K30" s="153">
        <v>2</v>
      </c>
      <c r="L30" s="153">
        <v>2</v>
      </c>
      <c r="M30" s="153"/>
      <c r="N30" s="257"/>
      <c r="O30" s="257"/>
      <c r="P30" s="176"/>
    </row>
    <row r="31" spans="1:16" x14ac:dyDescent="0.2">
      <c r="B31" s="175"/>
      <c r="C31" s="149"/>
      <c r="D31" s="149"/>
      <c r="E31" s="150"/>
      <c r="F31" s="150"/>
      <c r="G31" s="163"/>
      <c r="H31" s="151"/>
      <c r="J31" s="152"/>
      <c r="K31" s="153"/>
      <c r="L31" s="153"/>
      <c r="M31" s="153"/>
      <c r="N31" s="257"/>
      <c r="O31" s="257"/>
      <c r="P31" s="176"/>
    </row>
    <row r="32" spans="1:16" s="145" customFormat="1" ht="24" customHeight="1" x14ac:dyDescent="0.25">
      <c r="A32" s="141"/>
      <c r="B32" s="173" t="s">
        <v>401</v>
      </c>
      <c r="C32" s="154" t="s">
        <v>390</v>
      </c>
      <c r="D32" s="154" t="s">
        <v>402</v>
      </c>
      <c r="E32" s="147" t="s">
        <v>391</v>
      </c>
      <c r="F32" s="147" t="s">
        <v>392</v>
      </c>
      <c r="G32" s="147" t="s">
        <v>396</v>
      </c>
      <c r="H32" s="148" t="s">
        <v>393</v>
      </c>
      <c r="J32" s="146">
        <f>SUM(J33:J42)</f>
        <v>20</v>
      </c>
      <c r="K32" s="147">
        <f>SUM(K33:K42)</f>
        <v>20</v>
      </c>
      <c r="L32" s="147">
        <f>SUM(L33:L42)</f>
        <v>20</v>
      </c>
      <c r="M32" s="147">
        <f>SUM(M33:M42)</f>
        <v>0</v>
      </c>
      <c r="N32" s="147">
        <f t="shared" ref="N32:O32" si="9">SUM(N33:N42)</f>
        <v>0</v>
      </c>
      <c r="O32" s="147">
        <f t="shared" si="9"/>
        <v>0</v>
      </c>
      <c r="P32" s="174">
        <f>SUM(P33:P42)</f>
        <v>0</v>
      </c>
    </row>
    <row r="33" spans="1:16" x14ac:dyDescent="0.2">
      <c r="B33" s="175" t="s">
        <v>403</v>
      </c>
      <c r="C33" s="149" t="s">
        <v>395</v>
      </c>
      <c r="D33" s="149"/>
      <c r="E33" s="150" t="s">
        <v>396</v>
      </c>
      <c r="F33" s="150">
        <v>2</v>
      </c>
      <c r="G33" s="150">
        <f t="shared" ref="G33:G42" si="10">COUNTA(J33:P33)</f>
        <v>3</v>
      </c>
      <c r="H33" s="151">
        <f t="shared" ref="H33:H42" si="11">G33*F33</f>
        <v>6</v>
      </c>
      <c r="J33" s="152">
        <v>2</v>
      </c>
      <c r="K33" s="153">
        <v>2</v>
      </c>
      <c r="L33" s="153">
        <v>2</v>
      </c>
      <c r="M33" s="153"/>
      <c r="N33" s="257"/>
      <c r="O33" s="257"/>
      <c r="P33" s="176"/>
    </row>
    <row r="34" spans="1:16" x14ac:dyDescent="0.2">
      <c r="B34" s="175" t="s">
        <v>412</v>
      </c>
      <c r="C34" s="149" t="s">
        <v>400</v>
      </c>
      <c r="D34" s="149"/>
      <c r="E34" s="150" t="s">
        <v>396</v>
      </c>
      <c r="F34" s="150">
        <v>2</v>
      </c>
      <c r="G34" s="150">
        <f t="shared" si="10"/>
        <v>3</v>
      </c>
      <c r="H34" s="151">
        <f t="shared" si="11"/>
        <v>6</v>
      </c>
      <c r="J34" s="152">
        <v>2</v>
      </c>
      <c r="K34" s="153">
        <v>2</v>
      </c>
      <c r="L34" s="153">
        <v>2</v>
      </c>
      <c r="M34" s="153"/>
      <c r="N34" s="257"/>
      <c r="O34" s="257"/>
      <c r="P34" s="176"/>
    </row>
    <row r="35" spans="1:16" x14ac:dyDescent="0.2">
      <c r="B35" s="175" t="s">
        <v>413</v>
      </c>
      <c r="C35" s="149" t="s">
        <v>400</v>
      </c>
      <c r="D35" s="149"/>
      <c r="E35" s="150" t="s">
        <v>396</v>
      </c>
      <c r="F35" s="150">
        <v>4</v>
      </c>
      <c r="G35" s="150">
        <f t="shared" si="10"/>
        <v>3</v>
      </c>
      <c r="H35" s="151">
        <f t="shared" si="11"/>
        <v>12</v>
      </c>
      <c r="J35" s="152">
        <v>6</v>
      </c>
      <c r="K35" s="153">
        <v>6</v>
      </c>
      <c r="L35" s="153">
        <v>6</v>
      </c>
      <c r="M35" s="153"/>
      <c r="N35" s="257"/>
      <c r="O35" s="257"/>
      <c r="P35" s="176"/>
    </row>
    <row r="36" spans="1:16" x14ac:dyDescent="0.2">
      <c r="B36" s="175" t="s">
        <v>414</v>
      </c>
      <c r="C36" s="149" t="s">
        <v>395</v>
      </c>
      <c r="D36" s="149"/>
      <c r="E36" s="150" t="s">
        <v>396</v>
      </c>
      <c r="F36" s="150">
        <v>2</v>
      </c>
      <c r="G36" s="150">
        <f t="shared" si="10"/>
        <v>3</v>
      </c>
      <c r="H36" s="151">
        <f t="shared" si="11"/>
        <v>6</v>
      </c>
      <c r="J36" s="152">
        <v>2</v>
      </c>
      <c r="K36" s="153">
        <v>2</v>
      </c>
      <c r="L36" s="153">
        <v>2</v>
      </c>
      <c r="M36" s="153"/>
      <c r="N36" s="257"/>
      <c r="O36" s="257"/>
      <c r="P36" s="176"/>
    </row>
    <row r="37" spans="1:16" x14ac:dyDescent="0.2">
      <c r="B37" s="175" t="s">
        <v>438</v>
      </c>
      <c r="C37" s="149"/>
      <c r="D37" s="149"/>
      <c r="E37" s="150" t="s">
        <v>396</v>
      </c>
      <c r="F37" s="150">
        <v>1</v>
      </c>
      <c r="G37" s="150">
        <f t="shared" si="10"/>
        <v>3</v>
      </c>
      <c r="H37" s="151">
        <f t="shared" si="11"/>
        <v>3</v>
      </c>
      <c r="J37" s="152">
        <v>1</v>
      </c>
      <c r="K37" s="153">
        <v>1</v>
      </c>
      <c r="L37" s="153">
        <v>1</v>
      </c>
      <c r="M37" s="153"/>
      <c r="N37" s="257"/>
      <c r="O37" s="257"/>
      <c r="P37" s="176"/>
    </row>
    <row r="38" spans="1:16" x14ac:dyDescent="0.2">
      <c r="B38" s="175" t="s">
        <v>206</v>
      </c>
      <c r="C38" s="149"/>
      <c r="D38" s="149"/>
      <c r="E38" s="150" t="s">
        <v>396</v>
      </c>
      <c r="F38" s="150">
        <v>3</v>
      </c>
      <c r="G38" s="150">
        <f t="shared" si="10"/>
        <v>3</v>
      </c>
      <c r="H38" s="151">
        <f t="shared" si="11"/>
        <v>9</v>
      </c>
      <c r="J38" s="152">
        <v>2</v>
      </c>
      <c r="K38" s="153">
        <v>2</v>
      </c>
      <c r="L38" s="153">
        <v>2</v>
      </c>
      <c r="M38" s="153"/>
      <c r="N38" s="257"/>
      <c r="O38" s="257"/>
      <c r="P38" s="176"/>
    </row>
    <row r="39" spans="1:16" x14ac:dyDescent="0.2">
      <c r="B39" s="175" t="s">
        <v>439</v>
      </c>
      <c r="C39" s="149"/>
      <c r="D39" s="149"/>
      <c r="E39" s="150" t="s">
        <v>396</v>
      </c>
      <c r="F39" s="150">
        <v>1</v>
      </c>
      <c r="G39" s="150">
        <f t="shared" si="10"/>
        <v>3</v>
      </c>
      <c r="H39" s="151">
        <f t="shared" si="11"/>
        <v>3</v>
      </c>
      <c r="J39" s="152">
        <v>1</v>
      </c>
      <c r="K39" s="153">
        <v>1</v>
      </c>
      <c r="L39" s="153">
        <v>1</v>
      </c>
      <c r="M39" s="153"/>
      <c r="N39" s="257"/>
      <c r="O39" s="257"/>
      <c r="P39" s="176"/>
    </row>
    <row r="40" spans="1:16" x14ac:dyDescent="0.2">
      <c r="B40" s="175" t="s">
        <v>204</v>
      </c>
      <c r="C40" s="149"/>
      <c r="D40" s="149"/>
      <c r="E40" s="150" t="s">
        <v>396</v>
      </c>
      <c r="F40" s="150">
        <v>1</v>
      </c>
      <c r="G40" s="150">
        <f t="shared" si="10"/>
        <v>3</v>
      </c>
      <c r="H40" s="151">
        <f t="shared" si="11"/>
        <v>3</v>
      </c>
      <c r="J40" s="152">
        <v>1</v>
      </c>
      <c r="K40" s="153">
        <v>1</v>
      </c>
      <c r="L40" s="153">
        <v>1</v>
      </c>
      <c r="M40" s="153"/>
      <c r="N40" s="257"/>
      <c r="O40" s="257"/>
      <c r="P40" s="176"/>
    </row>
    <row r="41" spans="1:16" x14ac:dyDescent="0.2">
      <c r="B41" s="175" t="s">
        <v>415</v>
      </c>
      <c r="C41" s="149" t="s">
        <v>400</v>
      </c>
      <c r="D41" s="149"/>
      <c r="E41" s="150" t="s">
        <v>396</v>
      </c>
      <c r="F41" s="150">
        <v>2</v>
      </c>
      <c r="G41" s="150">
        <f t="shared" si="10"/>
        <v>3</v>
      </c>
      <c r="H41" s="151">
        <f t="shared" si="11"/>
        <v>6</v>
      </c>
      <c r="J41" s="152">
        <v>2</v>
      </c>
      <c r="K41" s="153">
        <v>2</v>
      </c>
      <c r="L41" s="153">
        <v>2</v>
      </c>
      <c r="M41" s="153"/>
      <c r="N41" s="257"/>
      <c r="O41" s="257"/>
      <c r="P41" s="176"/>
    </row>
    <row r="42" spans="1:16" x14ac:dyDescent="0.2">
      <c r="B42" s="175" t="s">
        <v>406</v>
      </c>
      <c r="C42" s="149" t="s">
        <v>400</v>
      </c>
      <c r="D42" s="149"/>
      <c r="E42" s="150" t="s">
        <v>396</v>
      </c>
      <c r="F42" s="150">
        <v>1</v>
      </c>
      <c r="G42" s="150">
        <f t="shared" si="10"/>
        <v>3</v>
      </c>
      <c r="H42" s="151">
        <f t="shared" si="11"/>
        <v>3</v>
      </c>
      <c r="J42" s="152">
        <v>1</v>
      </c>
      <c r="K42" s="153">
        <v>1</v>
      </c>
      <c r="L42" s="153">
        <v>1</v>
      </c>
      <c r="M42" s="153"/>
      <c r="N42" s="257"/>
      <c r="O42" s="257"/>
      <c r="P42" s="176"/>
    </row>
    <row r="43" spans="1:16" ht="15" thickBot="1" x14ac:dyDescent="0.25">
      <c r="B43" s="179"/>
      <c r="C43" s="180"/>
      <c r="D43" s="180"/>
      <c r="E43" s="181"/>
      <c r="F43" s="181"/>
      <c r="G43" s="181"/>
      <c r="H43" s="182"/>
      <c r="I43" s="183"/>
      <c r="J43" s="184"/>
      <c r="K43" s="185"/>
      <c r="L43" s="185"/>
      <c r="M43" s="185"/>
      <c r="N43" s="258"/>
      <c r="O43" s="258"/>
      <c r="P43" s="186"/>
    </row>
    <row r="44" spans="1:16" ht="9.6" customHeight="1" thickBot="1" x14ac:dyDescent="0.25">
      <c r="B44" s="194"/>
      <c r="P44" s="195"/>
    </row>
    <row r="45" spans="1:16" s="140" customFormat="1" ht="21" customHeight="1" x14ac:dyDescent="0.25">
      <c r="B45" s="166" t="s">
        <v>416</v>
      </c>
      <c r="C45" s="167"/>
      <c r="D45" s="167"/>
      <c r="E45" s="168"/>
      <c r="F45" s="168"/>
      <c r="G45" s="168"/>
      <c r="H45" s="169"/>
      <c r="I45" s="170"/>
      <c r="J45" s="171" t="s">
        <v>373</v>
      </c>
      <c r="K45" s="172" t="s">
        <v>374</v>
      </c>
      <c r="L45" s="172" t="s">
        <v>375</v>
      </c>
      <c r="M45" s="172" t="s">
        <v>376</v>
      </c>
      <c r="N45" s="172" t="s">
        <v>377</v>
      </c>
      <c r="O45" s="172" t="s">
        <v>441</v>
      </c>
      <c r="P45" s="172" t="s">
        <v>442</v>
      </c>
    </row>
    <row r="46" spans="1:16" s="145" customFormat="1" ht="24" customHeight="1" x14ac:dyDescent="0.25">
      <c r="A46" s="141"/>
      <c r="B46" s="173" t="s">
        <v>389</v>
      </c>
      <c r="C46" s="154" t="s">
        <v>390</v>
      </c>
      <c r="D46" s="154"/>
      <c r="E46" s="147" t="s">
        <v>391</v>
      </c>
      <c r="F46" s="147" t="s">
        <v>392</v>
      </c>
      <c r="G46" s="143" t="s">
        <v>396</v>
      </c>
      <c r="H46" s="148" t="s">
        <v>393</v>
      </c>
      <c r="J46" s="146">
        <f>SUM(J47:J53)</f>
        <v>0</v>
      </c>
      <c r="K46" s="147">
        <f t="shared" ref="K46:P46" si="12">SUM(K47:K53)</f>
        <v>12</v>
      </c>
      <c r="L46" s="147">
        <f t="shared" si="12"/>
        <v>12</v>
      </c>
      <c r="M46" s="147">
        <f t="shared" si="12"/>
        <v>12</v>
      </c>
      <c r="N46" s="147">
        <f t="shared" si="12"/>
        <v>12</v>
      </c>
      <c r="O46" s="147">
        <f t="shared" si="12"/>
        <v>0</v>
      </c>
      <c r="P46" s="174">
        <f t="shared" si="12"/>
        <v>0</v>
      </c>
    </row>
    <row r="47" spans="1:16" x14ac:dyDescent="0.2">
      <c r="B47" s="175" t="s">
        <v>408</v>
      </c>
      <c r="C47" s="149" t="s">
        <v>395</v>
      </c>
      <c r="D47" s="149"/>
      <c r="E47" s="150" t="s">
        <v>396</v>
      </c>
      <c r="F47" s="150">
        <v>1</v>
      </c>
      <c r="G47" s="150">
        <f t="shared" ref="G47:G53" si="13">COUNTA(J47:P47)</f>
        <v>4</v>
      </c>
      <c r="H47" s="151">
        <f t="shared" ref="H47:H53" si="14">G47*F47</f>
        <v>4</v>
      </c>
      <c r="J47" s="152"/>
      <c r="K47" s="153">
        <v>1</v>
      </c>
      <c r="L47" s="153">
        <v>1</v>
      </c>
      <c r="M47" s="153">
        <v>1</v>
      </c>
      <c r="N47" s="153">
        <v>1</v>
      </c>
      <c r="O47" s="257"/>
      <c r="P47" s="176"/>
    </row>
    <row r="48" spans="1:16" x14ac:dyDescent="0.2">
      <c r="B48" s="175" t="s">
        <v>398</v>
      </c>
      <c r="C48" s="149" t="s">
        <v>395</v>
      </c>
      <c r="D48" s="149"/>
      <c r="E48" s="150" t="s">
        <v>396</v>
      </c>
      <c r="F48" s="150">
        <v>1</v>
      </c>
      <c r="G48" s="150">
        <f t="shared" si="13"/>
        <v>4</v>
      </c>
      <c r="H48" s="151">
        <f t="shared" si="14"/>
        <v>4</v>
      </c>
      <c r="J48" s="152"/>
      <c r="K48" s="153">
        <v>1</v>
      </c>
      <c r="L48" s="153">
        <v>1</v>
      </c>
      <c r="M48" s="153">
        <v>1</v>
      </c>
      <c r="N48" s="153">
        <v>1</v>
      </c>
      <c r="O48" s="257"/>
      <c r="P48" s="176"/>
    </row>
    <row r="49" spans="1:16" x14ac:dyDescent="0.2">
      <c r="B49" s="175" t="s">
        <v>241</v>
      </c>
      <c r="C49" s="149" t="s">
        <v>395</v>
      </c>
      <c r="D49" s="149"/>
      <c r="E49" s="150" t="s">
        <v>396</v>
      </c>
      <c r="F49" s="150">
        <v>2</v>
      </c>
      <c r="G49" s="150">
        <f t="shared" si="13"/>
        <v>4</v>
      </c>
      <c r="H49" s="151">
        <f t="shared" si="14"/>
        <v>8</v>
      </c>
      <c r="J49" s="152"/>
      <c r="K49" s="153">
        <v>2</v>
      </c>
      <c r="L49" s="153">
        <v>2</v>
      </c>
      <c r="M49" s="153">
        <v>2</v>
      </c>
      <c r="N49" s="153">
        <v>2</v>
      </c>
      <c r="O49" s="257"/>
      <c r="P49" s="176"/>
    </row>
    <row r="50" spans="1:16" x14ac:dyDescent="0.2">
      <c r="B50" s="175" t="s">
        <v>417</v>
      </c>
      <c r="C50" s="149" t="s">
        <v>395</v>
      </c>
      <c r="D50" s="149"/>
      <c r="E50" s="150" t="s">
        <v>396</v>
      </c>
      <c r="F50" s="150">
        <v>2</v>
      </c>
      <c r="G50" s="150">
        <f t="shared" si="13"/>
        <v>4</v>
      </c>
      <c r="H50" s="151">
        <f t="shared" si="14"/>
        <v>8</v>
      </c>
      <c r="J50" s="152"/>
      <c r="K50" s="153">
        <v>2</v>
      </c>
      <c r="L50" s="153">
        <v>2</v>
      </c>
      <c r="M50" s="153">
        <v>2</v>
      </c>
      <c r="N50" s="153">
        <v>2</v>
      </c>
      <c r="O50" s="257"/>
      <c r="P50" s="176"/>
    </row>
    <row r="51" spans="1:16" x14ac:dyDescent="0.2">
      <c r="B51" s="175" t="s">
        <v>244</v>
      </c>
      <c r="C51" s="149" t="s">
        <v>395</v>
      </c>
      <c r="D51" s="149"/>
      <c r="E51" s="150" t="s">
        <v>396</v>
      </c>
      <c r="F51" s="150">
        <v>4</v>
      </c>
      <c r="G51" s="150">
        <f t="shared" si="13"/>
        <v>4</v>
      </c>
      <c r="H51" s="151">
        <f t="shared" si="14"/>
        <v>16</v>
      </c>
      <c r="J51" s="152"/>
      <c r="K51" s="153">
        <v>4</v>
      </c>
      <c r="L51" s="153">
        <v>4</v>
      </c>
      <c r="M51" s="153">
        <v>4</v>
      </c>
      <c r="N51" s="153">
        <v>4</v>
      </c>
      <c r="O51" s="257"/>
      <c r="P51" s="176"/>
    </row>
    <row r="52" spans="1:16" x14ac:dyDescent="0.2">
      <c r="B52" s="175" t="s">
        <v>410</v>
      </c>
      <c r="C52" s="149" t="s">
        <v>395</v>
      </c>
      <c r="D52" s="149"/>
      <c r="E52" s="150" t="s">
        <v>396</v>
      </c>
      <c r="F52" s="150">
        <v>1</v>
      </c>
      <c r="G52" s="150">
        <f t="shared" si="13"/>
        <v>4</v>
      </c>
      <c r="H52" s="151">
        <f t="shared" si="14"/>
        <v>4</v>
      </c>
      <c r="J52" s="152"/>
      <c r="K52" s="153">
        <v>1</v>
      </c>
      <c r="L52" s="153">
        <v>1</v>
      </c>
      <c r="M52" s="153">
        <v>1</v>
      </c>
      <c r="N52" s="153">
        <v>1</v>
      </c>
      <c r="O52" s="257"/>
      <c r="P52" s="176"/>
    </row>
    <row r="53" spans="1:16" x14ac:dyDescent="0.2">
      <c r="B53" s="175" t="s">
        <v>411</v>
      </c>
      <c r="C53" s="149" t="s">
        <v>395</v>
      </c>
      <c r="D53" s="149"/>
      <c r="E53" s="150" t="s">
        <v>396</v>
      </c>
      <c r="F53" s="150">
        <v>1</v>
      </c>
      <c r="G53" s="150">
        <f t="shared" si="13"/>
        <v>4</v>
      </c>
      <c r="H53" s="151">
        <f t="shared" si="14"/>
        <v>4</v>
      </c>
      <c r="J53" s="152"/>
      <c r="K53" s="153">
        <v>1</v>
      </c>
      <c r="L53" s="153">
        <v>1</v>
      </c>
      <c r="M53" s="153">
        <v>1</v>
      </c>
      <c r="N53" s="153">
        <v>1</v>
      </c>
      <c r="O53" s="257"/>
      <c r="P53" s="176"/>
    </row>
    <row r="54" spans="1:16" x14ac:dyDescent="0.2">
      <c r="B54" s="175"/>
      <c r="C54" s="149"/>
      <c r="D54" s="149"/>
      <c r="E54" s="150"/>
      <c r="F54" s="150"/>
      <c r="G54" s="163"/>
      <c r="H54" s="151"/>
      <c r="J54" s="152"/>
      <c r="K54" s="153"/>
      <c r="L54" s="153"/>
      <c r="M54" s="153"/>
      <c r="N54" s="257"/>
      <c r="O54" s="257"/>
      <c r="P54" s="176"/>
    </row>
    <row r="55" spans="1:16" s="145" customFormat="1" ht="24" customHeight="1" x14ac:dyDescent="0.25">
      <c r="A55" s="141"/>
      <c r="B55" s="173" t="s">
        <v>401</v>
      </c>
      <c r="C55" s="154" t="s">
        <v>390</v>
      </c>
      <c r="D55" s="154" t="s">
        <v>402</v>
      </c>
      <c r="E55" s="147" t="s">
        <v>391</v>
      </c>
      <c r="F55" s="147" t="s">
        <v>392</v>
      </c>
      <c r="G55" s="147" t="s">
        <v>396</v>
      </c>
      <c r="H55" s="148" t="s">
        <v>393</v>
      </c>
      <c r="J55" s="146">
        <f t="shared" ref="J55:P55" si="15">SUM(J56:J59)</f>
        <v>0</v>
      </c>
      <c r="K55" s="147">
        <f t="shared" si="15"/>
        <v>4</v>
      </c>
      <c r="L55" s="147">
        <f t="shared" si="15"/>
        <v>4</v>
      </c>
      <c r="M55" s="147">
        <f t="shared" si="15"/>
        <v>4</v>
      </c>
      <c r="N55" s="147">
        <f t="shared" si="15"/>
        <v>4</v>
      </c>
      <c r="O55" s="147">
        <f t="shared" si="15"/>
        <v>0</v>
      </c>
      <c r="P55" s="174">
        <f t="shared" si="15"/>
        <v>0</v>
      </c>
    </row>
    <row r="56" spans="1:16" x14ac:dyDescent="0.2">
      <c r="B56" s="175" t="s">
        <v>403</v>
      </c>
      <c r="C56" s="149" t="s">
        <v>395</v>
      </c>
      <c r="D56" s="149"/>
      <c r="E56" s="150" t="s">
        <v>396</v>
      </c>
      <c r="F56" s="150">
        <v>1</v>
      </c>
      <c r="G56" s="150">
        <f>COUNTA(J56:P56)</f>
        <v>4</v>
      </c>
      <c r="H56" s="151">
        <f t="shared" ref="H56:H59" si="16">G56*F56</f>
        <v>4</v>
      </c>
      <c r="J56" s="152"/>
      <c r="K56" s="153">
        <v>1</v>
      </c>
      <c r="L56" s="153">
        <v>1</v>
      </c>
      <c r="M56" s="153">
        <v>1</v>
      </c>
      <c r="N56" s="153">
        <v>1</v>
      </c>
      <c r="O56" s="257"/>
      <c r="P56" s="176"/>
    </row>
    <row r="57" spans="1:16" x14ac:dyDescent="0.2">
      <c r="B57" s="175" t="s">
        <v>404</v>
      </c>
      <c r="C57" s="149" t="s">
        <v>400</v>
      </c>
      <c r="D57" s="149"/>
      <c r="E57" s="150" t="s">
        <v>396</v>
      </c>
      <c r="F57" s="150">
        <v>1</v>
      </c>
      <c r="G57" s="150">
        <f>COUNTA(J57:P57)</f>
        <v>4</v>
      </c>
      <c r="H57" s="151">
        <f t="shared" si="16"/>
        <v>4</v>
      </c>
      <c r="J57" s="152"/>
      <c r="K57" s="153">
        <v>1</v>
      </c>
      <c r="L57" s="153">
        <v>1</v>
      </c>
      <c r="M57" s="153">
        <v>1</v>
      </c>
      <c r="N57" s="153">
        <v>1</v>
      </c>
      <c r="O57" s="257"/>
      <c r="P57" s="176"/>
    </row>
    <row r="58" spans="1:16" x14ac:dyDescent="0.2">
      <c r="B58" s="175" t="s">
        <v>414</v>
      </c>
      <c r="C58" s="149" t="s">
        <v>400</v>
      </c>
      <c r="D58" s="149"/>
      <c r="E58" s="150" t="s">
        <v>396</v>
      </c>
      <c r="F58" s="150">
        <v>2</v>
      </c>
      <c r="G58" s="150">
        <f>COUNTA(J58:P58)</f>
        <v>4</v>
      </c>
      <c r="H58" s="151">
        <f t="shared" si="16"/>
        <v>8</v>
      </c>
      <c r="J58" s="152"/>
      <c r="K58" s="153">
        <v>1</v>
      </c>
      <c r="L58" s="153">
        <v>1</v>
      </c>
      <c r="M58" s="153">
        <v>1</v>
      </c>
      <c r="N58" s="153">
        <v>1</v>
      </c>
      <c r="O58" s="257"/>
      <c r="P58" s="176"/>
    </row>
    <row r="59" spans="1:16" x14ac:dyDescent="0.2">
      <c r="B59" s="175" t="s">
        <v>415</v>
      </c>
      <c r="C59" s="149" t="s">
        <v>400</v>
      </c>
      <c r="D59" s="149"/>
      <c r="E59" s="150" t="s">
        <v>396</v>
      </c>
      <c r="F59" s="150">
        <v>1</v>
      </c>
      <c r="G59" s="150">
        <f>COUNTA(J59:P59)</f>
        <v>4</v>
      </c>
      <c r="H59" s="151">
        <f t="shared" si="16"/>
        <v>4</v>
      </c>
      <c r="J59" s="152"/>
      <c r="K59" s="153">
        <v>1</v>
      </c>
      <c r="L59" s="153">
        <v>1</v>
      </c>
      <c r="M59" s="153">
        <v>1</v>
      </c>
      <c r="N59" s="153">
        <v>1</v>
      </c>
      <c r="O59" s="257"/>
      <c r="P59" s="176"/>
    </row>
    <row r="60" spans="1:16" ht="15" thickBot="1" x14ac:dyDescent="0.25">
      <c r="B60" s="179"/>
      <c r="C60" s="180"/>
      <c r="D60" s="180"/>
      <c r="E60" s="181"/>
      <c r="F60" s="181"/>
      <c r="G60" s="181"/>
      <c r="H60" s="182"/>
      <c r="I60" s="183"/>
      <c r="J60" s="184"/>
      <c r="K60" s="185"/>
      <c r="L60" s="185"/>
      <c r="M60" s="185"/>
      <c r="N60" s="258"/>
      <c r="O60" s="258"/>
      <c r="P60" s="186"/>
    </row>
    <row r="61" spans="1:16" ht="9.6" customHeight="1" thickBot="1" x14ac:dyDescent="0.25">
      <c r="B61" s="194"/>
      <c r="P61" s="195"/>
    </row>
    <row r="62" spans="1:16" s="140" customFormat="1" ht="21" customHeight="1" x14ac:dyDescent="0.25">
      <c r="B62" s="166" t="s">
        <v>418</v>
      </c>
      <c r="C62" s="167"/>
      <c r="D62" s="167"/>
      <c r="E62" s="168"/>
      <c r="F62" s="168"/>
      <c r="G62" s="168"/>
      <c r="H62" s="169"/>
      <c r="I62" s="170"/>
      <c r="J62" s="171" t="s">
        <v>373</v>
      </c>
      <c r="K62" s="172" t="s">
        <v>374</v>
      </c>
      <c r="L62" s="172" t="s">
        <v>375</v>
      </c>
      <c r="M62" s="172" t="s">
        <v>376</v>
      </c>
      <c r="N62" s="172" t="s">
        <v>377</v>
      </c>
      <c r="O62" s="172" t="s">
        <v>441</v>
      </c>
      <c r="P62" s="172" t="s">
        <v>442</v>
      </c>
    </row>
    <row r="63" spans="1:16" s="145" customFormat="1" ht="24" customHeight="1" x14ac:dyDescent="0.25">
      <c r="A63" s="141"/>
      <c r="B63" s="173" t="s">
        <v>389</v>
      </c>
      <c r="C63" s="154" t="s">
        <v>390</v>
      </c>
      <c r="D63" s="154"/>
      <c r="E63" s="147" t="s">
        <v>391</v>
      </c>
      <c r="F63" s="147" t="s">
        <v>392</v>
      </c>
      <c r="G63" s="143" t="s">
        <v>396</v>
      </c>
      <c r="H63" s="148" t="s">
        <v>393</v>
      </c>
      <c r="J63" s="146">
        <f t="shared" ref="J63:P63" si="17">SUM(J64:J68)</f>
        <v>0</v>
      </c>
      <c r="K63" s="147">
        <f t="shared" si="17"/>
        <v>12</v>
      </c>
      <c r="L63" s="147">
        <f t="shared" si="17"/>
        <v>12</v>
      </c>
      <c r="M63" s="147">
        <f t="shared" si="17"/>
        <v>12</v>
      </c>
      <c r="N63" s="147">
        <f t="shared" si="17"/>
        <v>12</v>
      </c>
      <c r="O63" s="147">
        <f t="shared" si="17"/>
        <v>0</v>
      </c>
      <c r="P63" s="174">
        <f t="shared" si="17"/>
        <v>0</v>
      </c>
    </row>
    <row r="64" spans="1:16" x14ac:dyDescent="0.2">
      <c r="B64" s="175" t="s">
        <v>408</v>
      </c>
      <c r="C64" s="149" t="s">
        <v>395</v>
      </c>
      <c r="D64" s="149"/>
      <c r="E64" s="150" t="s">
        <v>396</v>
      </c>
      <c r="F64" s="150">
        <v>2</v>
      </c>
      <c r="G64" s="150">
        <f>COUNTA(J64:P64)</f>
        <v>4</v>
      </c>
      <c r="H64" s="151">
        <f>G64*F64</f>
        <v>8</v>
      </c>
      <c r="J64" s="152"/>
      <c r="K64" s="153">
        <v>2</v>
      </c>
      <c r="L64" s="153">
        <v>2</v>
      </c>
      <c r="M64" s="153">
        <v>2</v>
      </c>
      <c r="N64" s="153">
        <v>2</v>
      </c>
      <c r="O64" s="153"/>
      <c r="P64" s="176"/>
    </row>
    <row r="65" spans="1:16" x14ac:dyDescent="0.2">
      <c r="B65" s="175" t="s">
        <v>417</v>
      </c>
      <c r="C65" s="149" t="s">
        <v>395</v>
      </c>
      <c r="D65" s="149"/>
      <c r="E65" s="150" t="s">
        <v>396</v>
      </c>
      <c r="F65" s="150">
        <v>2</v>
      </c>
      <c r="G65" s="150">
        <f>COUNTA(J65:P65)</f>
        <v>4</v>
      </c>
      <c r="H65" s="151">
        <f>G65*F65</f>
        <v>8</v>
      </c>
      <c r="J65" s="152"/>
      <c r="K65" s="153">
        <v>2</v>
      </c>
      <c r="L65" s="153">
        <v>2</v>
      </c>
      <c r="M65" s="153">
        <v>2</v>
      </c>
      <c r="N65" s="153">
        <v>2</v>
      </c>
      <c r="O65" s="153"/>
      <c r="P65" s="176"/>
    </row>
    <row r="66" spans="1:16" x14ac:dyDescent="0.2">
      <c r="B66" s="175" t="s">
        <v>241</v>
      </c>
      <c r="C66" s="149" t="s">
        <v>395</v>
      </c>
      <c r="D66" s="149"/>
      <c r="E66" s="150" t="s">
        <v>396</v>
      </c>
      <c r="F66" s="150">
        <v>2</v>
      </c>
      <c r="G66" s="150">
        <f>COUNTA(J66:P66)</f>
        <v>4</v>
      </c>
      <c r="H66" s="151">
        <f>G66*F66</f>
        <v>8</v>
      </c>
      <c r="J66" s="152"/>
      <c r="K66" s="153">
        <v>2</v>
      </c>
      <c r="L66" s="153">
        <v>2</v>
      </c>
      <c r="M66" s="153">
        <v>2</v>
      </c>
      <c r="N66" s="153">
        <v>2</v>
      </c>
      <c r="O66" s="153"/>
      <c r="P66" s="176"/>
    </row>
    <row r="67" spans="1:16" x14ac:dyDescent="0.2">
      <c r="B67" s="175" t="s">
        <v>411</v>
      </c>
      <c r="C67" s="149"/>
      <c r="D67" s="149"/>
      <c r="E67" s="150" t="s">
        <v>396</v>
      </c>
      <c r="F67" s="150">
        <v>2</v>
      </c>
      <c r="G67" s="150">
        <f>COUNTA(J67:P67)</f>
        <v>4</v>
      </c>
      <c r="H67" s="151">
        <f>G67*F67</f>
        <v>8</v>
      </c>
      <c r="J67" s="152"/>
      <c r="K67" s="153">
        <v>2</v>
      </c>
      <c r="L67" s="153">
        <v>2</v>
      </c>
      <c r="M67" s="153">
        <v>2</v>
      </c>
      <c r="N67" s="153">
        <v>2</v>
      </c>
      <c r="O67" s="153"/>
      <c r="P67" s="176"/>
    </row>
    <row r="68" spans="1:16" x14ac:dyDescent="0.2">
      <c r="B68" s="175" t="s">
        <v>244</v>
      </c>
      <c r="C68" s="149" t="s">
        <v>395</v>
      </c>
      <c r="D68" s="149"/>
      <c r="E68" s="150" t="s">
        <v>396</v>
      </c>
      <c r="F68" s="150">
        <v>4</v>
      </c>
      <c r="G68" s="150">
        <f>COUNTA(J68:P68)</f>
        <v>4</v>
      </c>
      <c r="H68" s="151">
        <f>G68*F68</f>
        <v>16</v>
      </c>
      <c r="J68" s="152"/>
      <c r="K68" s="153">
        <v>4</v>
      </c>
      <c r="L68" s="153">
        <v>4</v>
      </c>
      <c r="M68" s="153">
        <v>4</v>
      </c>
      <c r="N68" s="153">
        <v>4</v>
      </c>
      <c r="O68" s="153"/>
      <c r="P68" s="176"/>
    </row>
    <row r="69" spans="1:16" x14ac:dyDescent="0.2">
      <c r="B69" s="175"/>
      <c r="C69" s="149"/>
      <c r="D69" s="149"/>
      <c r="E69" s="150"/>
      <c r="F69" s="150"/>
      <c r="G69" s="163"/>
      <c r="H69" s="151"/>
      <c r="J69" s="152"/>
      <c r="K69" s="153"/>
      <c r="L69" s="153"/>
      <c r="M69" s="153"/>
      <c r="N69" s="153"/>
      <c r="O69" s="153"/>
      <c r="P69" s="176"/>
    </row>
    <row r="70" spans="1:16" s="145" customFormat="1" ht="24" customHeight="1" x14ac:dyDescent="0.25">
      <c r="A70" s="141"/>
      <c r="B70" s="173" t="s">
        <v>401</v>
      </c>
      <c r="C70" s="154" t="s">
        <v>390</v>
      </c>
      <c r="D70" s="154" t="s">
        <v>402</v>
      </c>
      <c r="E70" s="147" t="s">
        <v>391</v>
      </c>
      <c r="F70" s="147" t="s">
        <v>392</v>
      </c>
      <c r="G70" s="147" t="s">
        <v>396</v>
      </c>
      <c r="H70" s="148" t="s">
        <v>393</v>
      </c>
      <c r="J70" s="146">
        <f t="shared" ref="J70:P70" si="18">SUM(J71:J72)</f>
        <v>0</v>
      </c>
      <c r="K70" s="147">
        <f t="shared" si="18"/>
        <v>4</v>
      </c>
      <c r="L70" s="147">
        <f t="shared" si="18"/>
        <v>4</v>
      </c>
      <c r="M70" s="147">
        <f t="shared" si="18"/>
        <v>4</v>
      </c>
      <c r="N70" s="147">
        <f t="shared" ref="N70:O70" si="19">SUM(N71:N72)</f>
        <v>4</v>
      </c>
      <c r="O70" s="147">
        <f t="shared" si="19"/>
        <v>0</v>
      </c>
      <c r="P70" s="174">
        <f t="shared" si="18"/>
        <v>0</v>
      </c>
    </row>
    <row r="71" spans="1:16" x14ac:dyDescent="0.2">
      <c r="B71" s="175" t="s">
        <v>403</v>
      </c>
      <c r="C71" s="149" t="s">
        <v>395</v>
      </c>
      <c r="D71" s="149"/>
      <c r="E71" s="150" t="s">
        <v>396</v>
      </c>
      <c r="F71" s="150">
        <v>2</v>
      </c>
      <c r="G71" s="150">
        <f>COUNTA(J71:P71)</f>
        <v>4</v>
      </c>
      <c r="H71" s="151">
        <f t="shared" ref="H71:H72" si="20">G71*F71</f>
        <v>8</v>
      </c>
      <c r="J71" s="152"/>
      <c r="K71" s="153">
        <v>2</v>
      </c>
      <c r="L71" s="153">
        <v>2</v>
      </c>
      <c r="M71" s="153">
        <v>2</v>
      </c>
      <c r="N71" s="153">
        <v>2</v>
      </c>
      <c r="O71" s="153"/>
      <c r="P71" s="176"/>
    </row>
    <row r="72" spans="1:16" x14ac:dyDescent="0.2">
      <c r="B72" s="175" t="s">
        <v>414</v>
      </c>
      <c r="C72" s="149" t="s">
        <v>400</v>
      </c>
      <c r="D72" s="149"/>
      <c r="E72" s="150" t="s">
        <v>396</v>
      </c>
      <c r="F72" s="150">
        <v>2</v>
      </c>
      <c r="G72" s="150">
        <f>COUNTA(J72:P72)</f>
        <v>4</v>
      </c>
      <c r="H72" s="151">
        <f t="shared" si="20"/>
        <v>8</v>
      </c>
      <c r="J72" s="152"/>
      <c r="K72" s="153">
        <v>2</v>
      </c>
      <c r="L72" s="153">
        <v>2</v>
      </c>
      <c r="M72" s="153">
        <v>2</v>
      </c>
      <c r="N72" s="153">
        <v>2</v>
      </c>
      <c r="O72" s="153"/>
      <c r="P72" s="176"/>
    </row>
    <row r="73" spans="1:16" ht="15" thickBot="1" x14ac:dyDescent="0.25">
      <c r="B73" s="179"/>
      <c r="C73" s="180"/>
      <c r="D73" s="180"/>
      <c r="E73" s="181"/>
      <c r="F73" s="181"/>
      <c r="G73" s="181"/>
      <c r="H73" s="182"/>
      <c r="I73" s="183"/>
      <c r="J73" s="184"/>
      <c r="K73" s="185"/>
      <c r="L73" s="185"/>
      <c r="M73" s="185"/>
      <c r="N73" s="258"/>
      <c r="O73" s="258"/>
      <c r="P73" s="186"/>
    </row>
    <row r="74" spans="1:16" ht="9.6" customHeight="1" thickBot="1" x14ac:dyDescent="0.25">
      <c r="B74" s="194"/>
      <c r="P74" s="195"/>
    </row>
    <row r="75" spans="1:16" s="140" customFormat="1" ht="21" customHeight="1" x14ac:dyDescent="0.25">
      <c r="B75" s="166" t="s">
        <v>382</v>
      </c>
      <c r="C75" s="167"/>
      <c r="D75" s="167"/>
      <c r="E75" s="168"/>
      <c r="F75" s="168"/>
      <c r="G75" s="168"/>
      <c r="H75" s="169"/>
      <c r="I75" s="170"/>
      <c r="J75" s="171" t="s">
        <v>373</v>
      </c>
      <c r="K75" s="172" t="s">
        <v>374</v>
      </c>
      <c r="L75" s="172" t="s">
        <v>375</v>
      </c>
      <c r="M75" s="172" t="s">
        <v>376</v>
      </c>
      <c r="N75" s="172" t="s">
        <v>377</v>
      </c>
      <c r="O75" s="172" t="s">
        <v>441</v>
      </c>
      <c r="P75" s="172" t="s">
        <v>442</v>
      </c>
    </row>
    <row r="76" spans="1:16" s="145" customFormat="1" ht="24" customHeight="1" x14ac:dyDescent="0.25">
      <c r="A76" s="141"/>
      <c r="B76" s="173" t="s">
        <v>389</v>
      </c>
      <c r="C76" s="154" t="s">
        <v>390</v>
      </c>
      <c r="D76" s="154"/>
      <c r="E76" s="147" t="s">
        <v>391</v>
      </c>
      <c r="F76" s="147" t="s">
        <v>392</v>
      </c>
      <c r="G76" s="143" t="s">
        <v>396</v>
      </c>
      <c r="H76" s="148" t="s">
        <v>393</v>
      </c>
      <c r="J76" s="146">
        <f t="shared" ref="J76:P76" si="21">SUM(J77:J88)</f>
        <v>0</v>
      </c>
      <c r="K76" s="147">
        <f t="shared" si="21"/>
        <v>0</v>
      </c>
      <c r="L76" s="147">
        <f t="shared" si="21"/>
        <v>0</v>
      </c>
      <c r="M76" s="147">
        <f t="shared" si="21"/>
        <v>34</v>
      </c>
      <c r="N76" s="147">
        <f t="shared" si="21"/>
        <v>34</v>
      </c>
      <c r="O76" s="147">
        <f t="shared" si="21"/>
        <v>34</v>
      </c>
      <c r="P76" s="174">
        <f t="shared" si="21"/>
        <v>34</v>
      </c>
    </row>
    <row r="77" spans="1:16" x14ac:dyDescent="0.2">
      <c r="B77" s="175" t="s">
        <v>419</v>
      </c>
      <c r="C77" s="149" t="s">
        <v>395</v>
      </c>
      <c r="D77" s="149"/>
      <c r="E77" s="150" t="s">
        <v>396</v>
      </c>
      <c r="F77" s="150">
        <v>1</v>
      </c>
      <c r="G77" s="150">
        <f t="shared" ref="G77:G82" si="22">COUNTA(J77:P77)</f>
        <v>4</v>
      </c>
      <c r="H77" s="151">
        <f t="shared" ref="H77:H88" si="23">G77*F77</f>
        <v>4</v>
      </c>
      <c r="J77" s="152"/>
      <c r="K77" s="153"/>
      <c r="L77" s="153"/>
      <c r="M77" s="153">
        <v>1</v>
      </c>
      <c r="N77" s="153">
        <v>1</v>
      </c>
      <c r="O77" s="153">
        <v>1</v>
      </c>
      <c r="P77" s="176">
        <v>1</v>
      </c>
    </row>
    <row r="78" spans="1:16" x14ac:dyDescent="0.2">
      <c r="B78" s="175" t="s">
        <v>420</v>
      </c>
      <c r="C78" s="149" t="s">
        <v>395</v>
      </c>
      <c r="D78" s="149"/>
      <c r="E78" s="150" t="s">
        <v>396</v>
      </c>
      <c r="F78" s="150">
        <v>1</v>
      </c>
      <c r="G78" s="150">
        <f t="shared" si="22"/>
        <v>4</v>
      </c>
      <c r="H78" s="151">
        <f t="shared" si="23"/>
        <v>4</v>
      </c>
      <c r="J78" s="152"/>
      <c r="K78" s="153"/>
      <c r="L78" s="153"/>
      <c r="M78" s="153">
        <v>1</v>
      </c>
      <c r="N78" s="153">
        <v>1</v>
      </c>
      <c r="O78" s="153">
        <v>1</v>
      </c>
      <c r="P78" s="176">
        <v>1</v>
      </c>
    </row>
    <row r="79" spans="1:16" x14ac:dyDescent="0.2">
      <c r="B79" s="175" t="s">
        <v>421</v>
      </c>
      <c r="C79" s="149" t="s">
        <v>395</v>
      </c>
      <c r="D79" s="149"/>
      <c r="E79" s="150" t="s">
        <v>396</v>
      </c>
      <c r="F79" s="150">
        <v>1</v>
      </c>
      <c r="G79" s="150">
        <f t="shared" si="22"/>
        <v>4</v>
      </c>
      <c r="H79" s="151">
        <f t="shared" si="23"/>
        <v>4</v>
      </c>
      <c r="J79" s="152"/>
      <c r="K79" s="153"/>
      <c r="L79" s="153"/>
      <c r="M79" s="153">
        <v>1</v>
      </c>
      <c r="N79" s="153">
        <v>1</v>
      </c>
      <c r="O79" s="153">
        <v>1</v>
      </c>
      <c r="P79" s="176">
        <v>1</v>
      </c>
    </row>
    <row r="80" spans="1:16" x14ac:dyDescent="0.2">
      <c r="B80" s="175" t="s">
        <v>422</v>
      </c>
      <c r="C80" s="149" t="s">
        <v>395</v>
      </c>
      <c r="D80" s="149"/>
      <c r="E80" s="150" t="s">
        <v>396</v>
      </c>
      <c r="F80" s="150">
        <v>1</v>
      </c>
      <c r="G80" s="150">
        <f t="shared" si="22"/>
        <v>4</v>
      </c>
      <c r="H80" s="151">
        <f t="shared" si="23"/>
        <v>4</v>
      </c>
      <c r="J80" s="152"/>
      <c r="K80" s="153"/>
      <c r="L80" s="153"/>
      <c r="M80" s="153">
        <v>3</v>
      </c>
      <c r="N80" s="153">
        <v>3</v>
      </c>
      <c r="O80" s="153">
        <v>3</v>
      </c>
      <c r="P80" s="176">
        <v>3</v>
      </c>
    </row>
    <row r="81" spans="1:16" x14ac:dyDescent="0.2">
      <c r="B81" s="175" t="s">
        <v>423</v>
      </c>
      <c r="C81" s="149" t="s">
        <v>395</v>
      </c>
      <c r="D81" s="149"/>
      <c r="E81" s="150" t="s">
        <v>396</v>
      </c>
      <c r="F81" s="150">
        <v>1</v>
      </c>
      <c r="G81" s="150">
        <f t="shared" si="22"/>
        <v>4</v>
      </c>
      <c r="H81" s="151">
        <f t="shared" si="23"/>
        <v>4</v>
      </c>
      <c r="J81" s="152"/>
      <c r="K81" s="153"/>
      <c r="L81" s="153"/>
      <c r="M81" s="153">
        <v>1</v>
      </c>
      <c r="N81" s="153">
        <v>1</v>
      </c>
      <c r="O81" s="153">
        <v>1</v>
      </c>
      <c r="P81" s="176">
        <v>1</v>
      </c>
    </row>
    <row r="82" spans="1:16" x14ac:dyDescent="0.2">
      <c r="B82" s="177" t="s">
        <v>434</v>
      </c>
      <c r="C82" s="160"/>
      <c r="D82" s="160"/>
      <c r="E82" s="150" t="s">
        <v>396</v>
      </c>
      <c r="F82" s="150">
        <v>1</v>
      </c>
      <c r="G82" s="150">
        <f t="shared" si="22"/>
        <v>4</v>
      </c>
      <c r="H82" s="151">
        <f t="shared" si="23"/>
        <v>4</v>
      </c>
      <c r="J82" s="161"/>
      <c r="K82" s="162"/>
      <c r="L82" s="153"/>
      <c r="M82" s="153">
        <v>1</v>
      </c>
      <c r="N82" s="153">
        <v>1</v>
      </c>
      <c r="O82" s="153">
        <v>1</v>
      </c>
      <c r="P82" s="176">
        <v>1</v>
      </c>
    </row>
    <row r="83" spans="1:16" x14ac:dyDescent="0.2">
      <c r="B83" s="177" t="s">
        <v>436</v>
      </c>
      <c r="C83" s="160"/>
      <c r="D83" s="160"/>
      <c r="E83" s="150" t="s">
        <v>396</v>
      </c>
      <c r="F83" s="163">
        <v>1</v>
      </c>
      <c r="G83" s="150">
        <v>3</v>
      </c>
      <c r="H83" s="151">
        <f t="shared" si="23"/>
        <v>3</v>
      </c>
      <c r="J83" s="161"/>
      <c r="K83" s="162"/>
      <c r="L83" s="162"/>
      <c r="M83" s="162">
        <v>1</v>
      </c>
      <c r="N83" s="162">
        <v>1</v>
      </c>
      <c r="O83" s="162">
        <v>1</v>
      </c>
      <c r="P83" s="178">
        <v>1</v>
      </c>
    </row>
    <row r="84" spans="1:16" x14ac:dyDescent="0.2">
      <c r="B84" s="175" t="s">
        <v>424</v>
      </c>
      <c r="C84" s="149" t="s">
        <v>395</v>
      </c>
      <c r="D84" s="149"/>
      <c r="E84" s="150" t="s">
        <v>396</v>
      </c>
      <c r="F84" s="155">
        <v>1</v>
      </c>
      <c r="G84" s="150">
        <f>COUNTA(J84:P84)</f>
        <v>4</v>
      </c>
      <c r="H84" s="151">
        <f t="shared" si="23"/>
        <v>4</v>
      </c>
      <c r="J84" s="152"/>
      <c r="K84" s="153"/>
      <c r="L84" s="156"/>
      <c r="M84" s="156">
        <v>1</v>
      </c>
      <c r="N84" s="156">
        <v>1</v>
      </c>
      <c r="O84" s="156">
        <v>1</v>
      </c>
      <c r="P84" s="200">
        <v>1</v>
      </c>
    </row>
    <row r="85" spans="1:16" x14ac:dyDescent="0.2">
      <c r="B85" s="175" t="s">
        <v>398</v>
      </c>
      <c r="C85" s="149" t="s">
        <v>395</v>
      </c>
      <c r="D85" s="149"/>
      <c r="E85" s="150" t="s">
        <v>396</v>
      </c>
      <c r="F85" s="150">
        <v>13</v>
      </c>
      <c r="G85" s="150">
        <f>COUNTA(J85:P85)</f>
        <v>4</v>
      </c>
      <c r="H85" s="151">
        <f t="shared" si="23"/>
        <v>52</v>
      </c>
      <c r="J85" s="152"/>
      <c r="K85" s="153"/>
      <c r="L85" s="153"/>
      <c r="M85" s="153">
        <v>13</v>
      </c>
      <c r="N85" s="153">
        <v>13</v>
      </c>
      <c r="O85" s="153">
        <v>13</v>
      </c>
      <c r="P85" s="176">
        <v>13</v>
      </c>
    </row>
    <row r="86" spans="1:16" x14ac:dyDescent="0.2">
      <c r="B86" s="175" t="s">
        <v>425</v>
      </c>
      <c r="C86" s="149" t="s">
        <v>395</v>
      </c>
      <c r="D86" s="149"/>
      <c r="E86" s="150" t="s">
        <v>396</v>
      </c>
      <c r="F86" s="150">
        <v>1</v>
      </c>
      <c r="G86" s="150">
        <f>COUNTA(J86:P86)</f>
        <v>4</v>
      </c>
      <c r="H86" s="151">
        <f t="shared" si="23"/>
        <v>4</v>
      </c>
      <c r="J86" s="152"/>
      <c r="K86" s="153"/>
      <c r="L86" s="153"/>
      <c r="M86" s="153">
        <v>1</v>
      </c>
      <c r="N86" s="153">
        <v>1</v>
      </c>
      <c r="O86" s="153">
        <v>1</v>
      </c>
      <c r="P86" s="176">
        <v>1</v>
      </c>
    </row>
    <row r="87" spans="1:16" x14ac:dyDescent="0.2">
      <c r="B87" s="175" t="s">
        <v>426</v>
      </c>
      <c r="C87" s="149" t="s">
        <v>395</v>
      </c>
      <c r="D87" s="149"/>
      <c r="E87" s="150" t="s">
        <v>396</v>
      </c>
      <c r="F87" s="150">
        <v>1</v>
      </c>
      <c r="G87" s="150">
        <f>COUNTA(J87:P87)</f>
        <v>4</v>
      </c>
      <c r="H87" s="151">
        <f t="shared" si="23"/>
        <v>4</v>
      </c>
      <c r="J87" s="152"/>
      <c r="K87" s="153"/>
      <c r="L87" s="153"/>
      <c r="M87" s="153">
        <v>1</v>
      </c>
      <c r="N87" s="153">
        <v>1</v>
      </c>
      <c r="O87" s="153">
        <v>1</v>
      </c>
      <c r="P87" s="176">
        <v>1</v>
      </c>
    </row>
    <row r="88" spans="1:16" ht="14.45" customHeight="1" x14ac:dyDescent="0.2">
      <c r="B88" s="175" t="s">
        <v>244</v>
      </c>
      <c r="C88" s="149" t="s">
        <v>395</v>
      </c>
      <c r="D88" s="149"/>
      <c r="E88" s="150" t="s">
        <v>396</v>
      </c>
      <c r="F88" s="150">
        <v>9</v>
      </c>
      <c r="G88" s="163">
        <f>COUNTA(J88:P88)</f>
        <v>4</v>
      </c>
      <c r="H88" s="151">
        <f t="shared" si="23"/>
        <v>36</v>
      </c>
      <c r="J88" s="152"/>
      <c r="K88" s="153"/>
      <c r="L88" s="153"/>
      <c r="M88" s="153">
        <v>9</v>
      </c>
      <c r="N88" s="153">
        <v>9</v>
      </c>
      <c r="O88" s="153">
        <v>9</v>
      </c>
      <c r="P88" s="176">
        <v>9</v>
      </c>
    </row>
    <row r="89" spans="1:16" s="145" customFormat="1" ht="24" customHeight="1" x14ac:dyDescent="0.25">
      <c r="A89" s="141"/>
      <c r="B89" s="173" t="s">
        <v>401</v>
      </c>
      <c r="C89" s="154" t="s">
        <v>390</v>
      </c>
      <c r="D89" s="154" t="s">
        <v>402</v>
      </c>
      <c r="E89" s="147" t="s">
        <v>391</v>
      </c>
      <c r="F89" s="147" t="s">
        <v>392</v>
      </c>
      <c r="G89" s="147" t="s">
        <v>396</v>
      </c>
      <c r="H89" s="148" t="s">
        <v>393</v>
      </c>
      <c r="J89" s="147">
        <f t="shared" ref="J89:K89" si="24">SUM(J90:J102)</f>
        <v>0</v>
      </c>
      <c r="K89" s="147">
        <f t="shared" si="24"/>
        <v>0</v>
      </c>
      <c r="L89" s="147">
        <f>SUM(L90:L102)</f>
        <v>0</v>
      </c>
      <c r="M89" s="147">
        <f>SUM(M90:M102)</f>
        <v>22</v>
      </c>
      <c r="N89" s="147">
        <f>SUM(N90:N102)</f>
        <v>22</v>
      </c>
      <c r="O89" s="147">
        <f>SUM(O90:O102)</f>
        <v>22</v>
      </c>
      <c r="P89" s="147">
        <f>SUM(P90:P102)</f>
        <v>22</v>
      </c>
    </row>
    <row r="90" spans="1:16" x14ac:dyDescent="0.2">
      <c r="B90" s="175" t="s">
        <v>427</v>
      </c>
      <c r="C90" s="149" t="s">
        <v>395</v>
      </c>
      <c r="D90" s="149"/>
      <c r="E90" s="157" t="s">
        <v>396</v>
      </c>
      <c r="F90" s="157">
        <v>1</v>
      </c>
      <c r="G90" s="150">
        <f t="shared" ref="G90:G98" si="25">COUNTA(J90:P90)</f>
        <v>4</v>
      </c>
      <c r="H90" s="158">
        <f t="shared" ref="H90:H101" si="26">G90*F90</f>
        <v>4</v>
      </c>
      <c r="J90" s="152"/>
      <c r="K90" s="153"/>
      <c r="L90" s="159"/>
      <c r="M90" s="159">
        <v>1</v>
      </c>
      <c r="N90" s="159">
        <v>1</v>
      </c>
      <c r="O90" s="159">
        <v>1</v>
      </c>
      <c r="P90" s="201">
        <v>1</v>
      </c>
    </row>
    <row r="91" spans="1:16" x14ac:dyDescent="0.2">
      <c r="B91" s="175" t="s">
        <v>428</v>
      </c>
      <c r="C91" s="149" t="s">
        <v>400</v>
      </c>
      <c r="D91" s="149"/>
      <c r="E91" s="150" t="s">
        <v>396</v>
      </c>
      <c r="F91" s="150">
        <v>1</v>
      </c>
      <c r="G91" s="150">
        <f t="shared" si="25"/>
        <v>4</v>
      </c>
      <c r="H91" s="151">
        <f t="shared" si="26"/>
        <v>4</v>
      </c>
      <c r="J91" s="152"/>
      <c r="K91" s="153"/>
      <c r="L91" s="153"/>
      <c r="M91" s="153">
        <v>1</v>
      </c>
      <c r="N91" s="153">
        <v>1</v>
      </c>
      <c r="O91" s="153">
        <v>1</v>
      </c>
      <c r="P91" s="176">
        <v>1</v>
      </c>
    </row>
    <row r="92" spans="1:16" x14ac:dyDescent="0.2">
      <c r="B92" s="175" t="s">
        <v>429</v>
      </c>
      <c r="C92" s="149" t="s">
        <v>395</v>
      </c>
      <c r="D92" s="149"/>
      <c r="E92" s="150" t="s">
        <v>396</v>
      </c>
      <c r="F92" s="150">
        <v>1</v>
      </c>
      <c r="G92" s="150">
        <f t="shared" si="25"/>
        <v>4</v>
      </c>
      <c r="H92" s="151">
        <f t="shared" si="26"/>
        <v>4</v>
      </c>
      <c r="J92" s="152"/>
      <c r="K92" s="153"/>
      <c r="L92" s="153"/>
      <c r="M92" s="153">
        <v>1</v>
      </c>
      <c r="N92" s="153">
        <v>1</v>
      </c>
      <c r="O92" s="153">
        <v>1</v>
      </c>
      <c r="P92" s="176">
        <v>1</v>
      </c>
    </row>
    <row r="93" spans="1:16" x14ac:dyDescent="0.2">
      <c r="B93" s="175" t="s">
        <v>234</v>
      </c>
      <c r="C93" s="149" t="s">
        <v>400</v>
      </c>
      <c r="D93" s="149"/>
      <c r="E93" s="150" t="s">
        <v>396</v>
      </c>
      <c r="F93" s="150">
        <v>1</v>
      </c>
      <c r="G93" s="150">
        <f t="shared" si="25"/>
        <v>4</v>
      </c>
      <c r="H93" s="151">
        <f t="shared" si="26"/>
        <v>4</v>
      </c>
      <c r="J93" s="152"/>
      <c r="K93" s="153"/>
      <c r="L93" s="153"/>
      <c r="M93" s="153">
        <v>1</v>
      </c>
      <c r="N93" s="153">
        <v>1</v>
      </c>
      <c r="O93" s="153">
        <v>1</v>
      </c>
      <c r="P93" s="176">
        <v>1</v>
      </c>
    </row>
    <row r="94" spans="1:16" x14ac:dyDescent="0.2">
      <c r="B94" s="177" t="s">
        <v>430</v>
      </c>
      <c r="C94" s="160" t="s">
        <v>395</v>
      </c>
      <c r="D94" s="160"/>
      <c r="E94" s="150" t="s">
        <v>396</v>
      </c>
      <c r="F94" s="150">
        <v>1</v>
      </c>
      <c r="G94" s="150">
        <f t="shared" si="25"/>
        <v>4</v>
      </c>
      <c r="H94" s="151">
        <f t="shared" si="26"/>
        <v>4</v>
      </c>
      <c r="J94" s="161"/>
      <c r="K94" s="162"/>
      <c r="L94" s="153"/>
      <c r="M94" s="153">
        <v>1</v>
      </c>
      <c r="N94" s="153">
        <v>1</v>
      </c>
      <c r="O94" s="153">
        <v>1</v>
      </c>
      <c r="P94" s="176">
        <v>1</v>
      </c>
    </row>
    <row r="95" spans="1:16" x14ac:dyDescent="0.2">
      <c r="B95" s="177" t="s">
        <v>440</v>
      </c>
      <c r="C95" s="160"/>
      <c r="D95" s="160"/>
      <c r="E95" s="150" t="s">
        <v>396</v>
      </c>
      <c r="F95" s="150">
        <v>1</v>
      </c>
      <c r="G95" s="150">
        <f t="shared" si="25"/>
        <v>4</v>
      </c>
      <c r="H95" s="151">
        <f t="shared" si="26"/>
        <v>4</v>
      </c>
      <c r="J95" s="161"/>
      <c r="K95" s="162"/>
      <c r="L95" s="153"/>
      <c r="M95" s="153">
        <v>1</v>
      </c>
      <c r="N95" s="153">
        <v>1</v>
      </c>
      <c r="O95" s="153">
        <v>1</v>
      </c>
      <c r="P95" s="176">
        <v>1</v>
      </c>
    </row>
    <row r="96" spans="1:16" x14ac:dyDescent="0.2">
      <c r="B96" s="177" t="s">
        <v>431</v>
      </c>
      <c r="C96" s="160" t="s">
        <v>395</v>
      </c>
      <c r="D96" s="160"/>
      <c r="E96" s="150" t="s">
        <v>396</v>
      </c>
      <c r="F96" s="150">
        <v>2</v>
      </c>
      <c r="G96" s="150">
        <f t="shared" si="25"/>
        <v>4</v>
      </c>
      <c r="H96" s="151">
        <f t="shared" si="26"/>
        <v>8</v>
      </c>
      <c r="J96" s="161"/>
      <c r="K96" s="162"/>
      <c r="L96" s="153"/>
      <c r="M96" s="153">
        <v>2</v>
      </c>
      <c r="N96" s="153">
        <v>2</v>
      </c>
      <c r="O96" s="153">
        <v>2</v>
      </c>
      <c r="P96" s="176">
        <v>2</v>
      </c>
    </row>
    <row r="97" spans="1:19" x14ac:dyDescent="0.2">
      <c r="B97" s="177" t="s">
        <v>432</v>
      </c>
      <c r="C97" s="160" t="s">
        <v>400</v>
      </c>
      <c r="D97" s="160"/>
      <c r="E97" s="150" t="s">
        <v>396</v>
      </c>
      <c r="F97" s="150">
        <v>1</v>
      </c>
      <c r="G97" s="150">
        <f t="shared" si="25"/>
        <v>4</v>
      </c>
      <c r="H97" s="151">
        <f t="shared" si="26"/>
        <v>4</v>
      </c>
      <c r="J97" s="161"/>
      <c r="K97" s="162"/>
      <c r="L97" s="153"/>
      <c r="M97" s="153">
        <v>1</v>
      </c>
      <c r="N97" s="153">
        <v>1</v>
      </c>
      <c r="O97" s="153">
        <v>1</v>
      </c>
      <c r="P97" s="176">
        <v>1</v>
      </c>
    </row>
    <row r="98" spans="1:19" x14ac:dyDescent="0.2">
      <c r="B98" s="177" t="s">
        <v>204</v>
      </c>
      <c r="C98" s="160"/>
      <c r="D98" s="160"/>
      <c r="E98" s="150" t="s">
        <v>396</v>
      </c>
      <c r="F98" s="150">
        <v>1</v>
      </c>
      <c r="G98" s="150">
        <f t="shared" si="25"/>
        <v>4</v>
      </c>
      <c r="H98" s="151">
        <f t="shared" si="26"/>
        <v>4</v>
      </c>
      <c r="J98" s="161"/>
      <c r="K98" s="162"/>
      <c r="L98" s="153"/>
      <c r="M98" s="153">
        <v>1</v>
      </c>
      <c r="N98" s="153">
        <v>1</v>
      </c>
      <c r="O98" s="153">
        <v>1</v>
      </c>
      <c r="P98" s="176">
        <v>1</v>
      </c>
    </row>
    <row r="99" spans="1:19" x14ac:dyDescent="0.2">
      <c r="B99" s="177" t="s">
        <v>435</v>
      </c>
      <c r="C99" s="160"/>
      <c r="D99" s="160"/>
      <c r="E99" s="150" t="s">
        <v>396</v>
      </c>
      <c r="F99" s="163">
        <v>1</v>
      </c>
      <c r="G99" s="150">
        <v>3</v>
      </c>
      <c r="H99" s="151">
        <f t="shared" si="26"/>
        <v>3</v>
      </c>
      <c r="J99" s="161"/>
      <c r="K99" s="162"/>
      <c r="L99" s="162"/>
      <c r="M99" s="162">
        <v>1</v>
      </c>
      <c r="N99" s="162">
        <v>1</v>
      </c>
      <c r="O99" s="162">
        <v>1</v>
      </c>
      <c r="P99" s="178">
        <v>1</v>
      </c>
    </row>
    <row r="100" spans="1:19" x14ac:dyDescent="0.2">
      <c r="B100" s="177" t="s">
        <v>433</v>
      </c>
      <c r="C100" s="160" t="s">
        <v>395</v>
      </c>
      <c r="D100" s="160"/>
      <c r="E100" s="163" t="s">
        <v>396</v>
      </c>
      <c r="F100" s="163">
        <v>1</v>
      </c>
      <c r="G100" s="150">
        <f>COUNTA(J100:P100)</f>
        <v>4</v>
      </c>
      <c r="H100" s="151">
        <f t="shared" si="26"/>
        <v>4</v>
      </c>
      <c r="J100" s="161"/>
      <c r="K100" s="162"/>
      <c r="L100" s="162"/>
      <c r="M100" s="162">
        <v>1</v>
      </c>
      <c r="N100" s="162">
        <v>1</v>
      </c>
      <c r="O100" s="162">
        <v>1</v>
      </c>
      <c r="P100" s="178">
        <v>1</v>
      </c>
    </row>
    <row r="101" spans="1:19" x14ac:dyDescent="0.2">
      <c r="B101" s="177" t="s">
        <v>437</v>
      </c>
      <c r="C101" s="160"/>
      <c r="D101" s="160"/>
      <c r="E101" s="163" t="s">
        <v>396</v>
      </c>
      <c r="F101" s="163">
        <v>10</v>
      </c>
      <c r="G101" s="150">
        <f>COUNTA(J101:P101)</f>
        <v>4</v>
      </c>
      <c r="H101" s="151">
        <f t="shared" si="26"/>
        <v>40</v>
      </c>
      <c r="J101" s="161"/>
      <c r="K101" s="162"/>
      <c r="L101" s="162"/>
      <c r="M101" s="162">
        <v>10</v>
      </c>
      <c r="N101" s="162">
        <v>10</v>
      </c>
      <c r="O101" s="162">
        <v>10</v>
      </c>
      <c r="P101" s="178">
        <v>10</v>
      </c>
    </row>
    <row r="102" spans="1:19" ht="15" thickBot="1" x14ac:dyDescent="0.25">
      <c r="B102" s="179"/>
      <c r="C102" s="180"/>
      <c r="D102" s="180"/>
      <c r="E102" s="181"/>
      <c r="F102" s="181"/>
      <c r="G102" s="181"/>
      <c r="H102" s="182"/>
      <c r="I102" s="183"/>
      <c r="J102" s="184"/>
      <c r="K102" s="185"/>
      <c r="L102" s="185"/>
      <c r="M102" s="185"/>
      <c r="N102" s="258"/>
      <c r="O102" s="258"/>
      <c r="P102" s="186"/>
    </row>
    <row r="103" spans="1:19" x14ac:dyDescent="0.2">
      <c r="B103" s="164"/>
    </row>
    <row r="104" spans="1:19" x14ac:dyDescent="0.2">
      <c r="B104" s="164"/>
    </row>
    <row r="105" spans="1:19" x14ac:dyDescent="0.2">
      <c r="A105" s="123"/>
      <c r="B105" s="164"/>
      <c r="J105" s="133">
        <f>J76+J63+J46+J22+J7</f>
        <v>36</v>
      </c>
      <c r="K105" s="133">
        <f>K76+K63+K46+K22+K7</f>
        <v>57</v>
      </c>
      <c r="L105" s="133">
        <f>L76+L63+L46+L22+L7</f>
        <v>57</v>
      </c>
      <c r="M105" s="133">
        <f>M76+M63+M46+M22+M7</f>
        <v>60</v>
      </c>
      <c r="P105" s="133">
        <f>P76+P63+P46+P22+P7</f>
        <v>36</v>
      </c>
    </row>
    <row r="106" spans="1:19" x14ac:dyDescent="0.2">
      <c r="A106" s="123"/>
      <c r="B106" s="164"/>
      <c r="H106" s="123"/>
    </row>
    <row r="107" spans="1:19" s="131" customFormat="1" x14ac:dyDescent="0.2">
      <c r="A107" s="123"/>
      <c r="B107" s="165"/>
      <c r="E107" s="132"/>
      <c r="F107" s="132"/>
      <c r="G107" s="132"/>
      <c r="H107" s="132"/>
      <c r="I107" s="123"/>
      <c r="J107" s="133">
        <f>J105*22</f>
        <v>792</v>
      </c>
      <c r="K107" s="133">
        <f>K105*22</f>
        <v>1254</v>
      </c>
      <c r="L107" s="133">
        <f>L105*22</f>
        <v>1254</v>
      </c>
      <c r="M107" s="133">
        <f>M105*22</f>
        <v>1320</v>
      </c>
      <c r="N107" s="133"/>
      <c r="O107" s="133"/>
      <c r="P107" s="133">
        <f>P105*22</f>
        <v>792</v>
      </c>
      <c r="Q107" s="131">
        <f>SUM(J107:P107)</f>
        <v>5412</v>
      </c>
      <c r="R107" s="202">
        <f>Q107*22</f>
        <v>119064</v>
      </c>
      <c r="S107" s="204">
        <f>R107/ORÇAMENTO!E2</f>
        <v>1.5090723820982151E-2</v>
      </c>
    </row>
    <row r="108" spans="1:19" s="131" customFormat="1" x14ac:dyDescent="0.2">
      <c r="A108" s="123"/>
      <c r="B108" s="164"/>
      <c r="E108" s="132"/>
      <c r="F108" s="132"/>
      <c r="G108" s="132"/>
      <c r="H108" s="132"/>
      <c r="I108" s="123"/>
      <c r="J108" s="203">
        <f>J107*22</f>
        <v>17424</v>
      </c>
      <c r="K108" s="203">
        <f>K107*22</f>
        <v>27588</v>
      </c>
      <c r="L108" s="203">
        <f>L107*22</f>
        <v>27588</v>
      </c>
      <c r="M108" s="203">
        <f>M107*22</f>
        <v>29040</v>
      </c>
      <c r="N108" s="203"/>
      <c r="O108" s="203"/>
      <c r="P108" s="203">
        <f>P107*22</f>
        <v>17424</v>
      </c>
    </row>
    <row r="109" spans="1:19" s="131" customFormat="1" x14ac:dyDescent="0.2">
      <c r="A109" s="123"/>
      <c r="B109" s="164"/>
      <c r="E109" s="132"/>
      <c r="F109" s="132"/>
      <c r="G109" s="132"/>
      <c r="H109" s="132"/>
      <c r="I109" s="123"/>
      <c r="J109" s="133"/>
      <c r="K109" s="133"/>
      <c r="L109" s="133"/>
      <c r="M109" s="133"/>
      <c r="N109" s="133"/>
      <c r="O109" s="133"/>
      <c r="P109" s="133"/>
    </row>
    <row r="110" spans="1:19" s="131" customFormat="1" x14ac:dyDescent="0.2">
      <c r="A110" s="123"/>
      <c r="B110" s="164"/>
      <c r="E110" s="132"/>
      <c r="F110" s="132"/>
      <c r="G110" s="132"/>
      <c r="H110" s="132"/>
      <c r="I110" s="123"/>
      <c r="J110" s="133"/>
      <c r="K110" s="133"/>
      <c r="L110" s="133"/>
      <c r="M110" s="133"/>
      <c r="N110" s="133"/>
      <c r="O110" s="133"/>
      <c r="P110" s="133"/>
    </row>
    <row r="111" spans="1:19" s="131" customFormat="1" x14ac:dyDescent="0.2">
      <c r="A111" s="123"/>
      <c r="B111" s="164"/>
      <c r="E111" s="132"/>
      <c r="F111" s="132"/>
      <c r="G111" s="132"/>
      <c r="H111" s="132"/>
      <c r="I111" s="123"/>
      <c r="J111" s="133"/>
      <c r="K111" s="133"/>
      <c r="L111" s="133"/>
      <c r="M111" s="133"/>
      <c r="N111" s="133"/>
      <c r="O111" s="133"/>
      <c r="P111" s="133"/>
    </row>
    <row r="112" spans="1:19" s="131" customFormat="1" x14ac:dyDescent="0.2">
      <c r="A112" s="123"/>
      <c r="B112" s="164"/>
      <c r="E112" s="132"/>
      <c r="F112" s="132"/>
      <c r="G112" s="132"/>
      <c r="H112" s="132"/>
      <c r="I112" s="123"/>
      <c r="J112" s="133"/>
      <c r="K112" s="133"/>
      <c r="L112" s="133"/>
      <c r="M112" s="133"/>
      <c r="N112" s="133"/>
      <c r="O112" s="133"/>
      <c r="P112" s="133"/>
    </row>
    <row r="113" spans="1:16" s="131" customFormat="1" x14ac:dyDescent="0.2">
      <c r="A113" s="130"/>
      <c r="B113" s="164"/>
      <c r="E113" s="132"/>
      <c r="F113" s="132"/>
      <c r="G113" s="132"/>
      <c r="H113" s="132"/>
      <c r="I113" s="123"/>
      <c r="J113" s="133"/>
      <c r="K113" s="133"/>
      <c r="L113" s="133"/>
      <c r="M113" s="133"/>
      <c r="N113" s="133"/>
      <c r="O113" s="133"/>
      <c r="P113" s="133"/>
    </row>
    <row r="114" spans="1:16" s="131" customFormat="1" x14ac:dyDescent="0.2">
      <c r="A114" s="130"/>
      <c r="B114" s="164"/>
      <c r="E114" s="132"/>
      <c r="F114" s="132"/>
      <c r="G114" s="132"/>
      <c r="H114" s="132"/>
      <c r="I114" s="123"/>
      <c r="J114" s="133"/>
      <c r="K114" s="133"/>
      <c r="L114" s="133"/>
      <c r="M114" s="133"/>
      <c r="N114" s="133"/>
      <c r="O114" s="133"/>
      <c r="P114" s="133"/>
    </row>
    <row r="115" spans="1:16" s="131" customFormat="1" x14ac:dyDescent="0.2">
      <c r="A115" s="130"/>
      <c r="B115" s="164"/>
      <c r="E115" s="132"/>
      <c r="F115" s="132"/>
      <c r="G115" s="132"/>
      <c r="H115" s="132"/>
      <c r="I115" s="123"/>
      <c r="J115" s="133"/>
      <c r="K115" s="133"/>
      <c r="L115" s="133"/>
      <c r="M115" s="133"/>
      <c r="N115" s="133"/>
      <c r="O115" s="133"/>
      <c r="P115" s="133"/>
    </row>
  </sheetData>
  <mergeCells count="3">
    <mergeCell ref="B2:P2"/>
    <mergeCell ref="B4:H4"/>
    <mergeCell ref="J4:P4"/>
  </mergeCells>
  <phoneticPr fontId="17" type="noConversion"/>
  <printOptions horizontalCentered="1"/>
  <pageMargins left="0.51181102362204722" right="0.51181102362204722" top="0.98425196850393704" bottom="0.39370078740157483" header="0.31496062992125984" footer="0.31496062992125984"/>
  <pageSetup paperSize="9" scale="39" fitToHeight="0" orientation="portrait" r:id="rId1"/>
  <headerFooter>
    <oddHeader>&amp;R&amp;G</oddHeader>
    <oddFooter>&amp;C&amp;18Av. João Olímpio de Oliveira, nº 13 – Vila Asem – Itapetininga/SP.
F.: +55 015 99625-5365
comercial@af2engenhariaeservicos.com.br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729C0-342A-4E1C-AB7A-868836297378}">
  <sheetPr>
    <pageSetUpPr fitToPage="1"/>
  </sheetPr>
  <dimension ref="A3:V159"/>
  <sheetViews>
    <sheetView showGridLines="0" zoomScaleNormal="100" zoomScaleSheetLayoutView="85" workbookViewId="0">
      <selection activeCell="B11" sqref="B11:F11"/>
    </sheetView>
  </sheetViews>
  <sheetFormatPr defaultColWidth="9.140625" defaultRowHeight="12.75" x14ac:dyDescent="0.25"/>
  <cols>
    <col min="1" max="1" width="6.140625" style="80" customWidth="1"/>
    <col min="2" max="2" width="43" style="81" customWidth="1"/>
    <col min="3" max="3" width="6.28515625" style="82" customWidth="1"/>
    <col min="4" max="4" width="10.28515625" style="82" customWidth="1"/>
    <col min="5" max="5" width="13.5703125" style="82" customWidth="1"/>
    <col min="6" max="6" width="14.85546875" style="82" customWidth="1"/>
    <col min="7" max="7" width="11.85546875" style="82" customWidth="1"/>
    <col min="8" max="8" width="14.7109375" style="82" customWidth="1"/>
    <col min="9" max="9" width="11.42578125" style="82" bestFit="1" customWidth="1"/>
    <col min="10" max="10" width="9.28515625" style="82" bestFit="1" customWidth="1"/>
    <col min="11" max="11" width="10.28515625" style="82" bestFit="1" customWidth="1"/>
    <col min="12" max="12" width="9.7109375" style="82" bestFit="1" customWidth="1"/>
    <col min="13" max="13" width="10.85546875" style="82" customWidth="1"/>
    <col min="14" max="14" width="14.7109375" style="82" customWidth="1"/>
    <col min="15" max="15" width="9.140625" style="82"/>
    <col min="16" max="19" width="10.28515625" style="82" bestFit="1" customWidth="1"/>
    <col min="20" max="20" width="10.28515625" style="82" customWidth="1"/>
    <col min="21" max="256" width="9.140625" style="82"/>
    <col min="257" max="257" width="6.140625" style="82" customWidth="1"/>
    <col min="258" max="258" width="39.42578125" style="82" customWidth="1"/>
    <col min="259" max="259" width="6.28515625" style="82" customWidth="1"/>
    <col min="260" max="260" width="10.28515625" style="82" customWidth="1"/>
    <col min="261" max="261" width="10.42578125" style="82" customWidth="1"/>
    <col min="262" max="262" width="14.85546875" style="82" customWidth="1"/>
    <col min="263" max="263" width="11.85546875" style="82" customWidth="1"/>
    <col min="264" max="264" width="14.7109375" style="82" customWidth="1"/>
    <col min="265" max="265" width="11.42578125" style="82" bestFit="1" customWidth="1"/>
    <col min="266" max="266" width="9.28515625" style="82" bestFit="1" customWidth="1"/>
    <col min="267" max="267" width="10.28515625" style="82" bestFit="1" customWidth="1"/>
    <col min="268" max="268" width="9.28515625" style="82" bestFit="1" customWidth="1"/>
    <col min="269" max="269" width="10.85546875" style="82" customWidth="1"/>
    <col min="270" max="270" width="14.7109375" style="82" customWidth="1"/>
    <col min="271" max="271" width="9.140625" style="82"/>
    <col min="272" max="275" width="10.28515625" style="82" bestFit="1" customWidth="1"/>
    <col min="276" max="276" width="10.28515625" style="82" customWidth="1"/>
    <col min="277" max="512" width="9.140625" style="82"/>
    <col min="513" max="513" width="6.140625" style="82" customWidth="1"/>
    <col min="514" max="514" width="39.42578125" style="82" customWidth="1"/>
    <col min="515" max="515" width="6.28515625" style="82" customWidth="1"/>
    <col min="516" max="516" width="10.28515625" style="82" customWidth="1"/>
    <col min="517" max="517" width="10.42578125" style="82" customWidth="1"/>
    <col min="518" max="518" width="14.85546875" style="82" customWidth="1"/>
    <col min="519" max="519" width="11.85546875" style="82" customWidth="1"/>
    <col min="520" max="520" width="14.7109375" style="82" customWidth="1"/>
    <col min="521" max="521" width="11.42578125" style="82" bestFit="1" customWidth="1"/>
    <col min="522" max="522" width="9.28515625" style="82" bestFit="1" customWidth="1"/>
    <col min="523" max="523" width="10.28515625" style="82" bestFit="1" customWidth="1"/>
    <col min="524" max="524" width="9.28515625" style="82" bestFit="1" customWidth="1"/>
    <col min="525" max="525" width="10.85546875" style="82" customWidth="1"/>
    <col min="526" max="526" width="14.7109375" style="82" customWidth="1"/>
    <col min="527" max="527" width="9.140625" style="82"/>
    <col min="528" max="531" width="10.28515625" style="82" bestFit="1" customWidth="1"/>
    <col min="532" max="532" width="10.28515625" style="82" customWidth="1"/>
    <col min="533" max="768" width="9.140625" style="82"/>
    <col min="769" max="769" width="6.140625" style="82" customWidth="1"/>
    <col min="770" max="770" width="39.42578125" style="82" customWidth="1"/>
    <col min="771" max="771" width="6.28515625" style="82" customWidth="1"/>
    <col min="772" max="772" width="10.28515625" style="82" customWidth="1"/>
    <col min="773" max="773" width="10.42578125" style="82" customWidth="1"/>
    <col min="774" max="774" width="14.85546875" style="82" customWidth="1"/>
    <col min="775" max="775" width="11.85546875" style="82" customWidth="1"/>
    <col min="776" max="776" width="14.7109375" style="82" customWidth="1"/>
    <col min="777" max="777" width="11.42578125" style="82" bestFit="1" customWidth="1"/>
    <col min="778" max="778" width="9.28515625" style="82" bestFit="1" customWidth="1"/>
    <col min="779" max="779" width="10.28515625" style="82" bestFit="1" customWidth="1"/>
    <col min="780" max="780" width="9.28515625" style="82" bestFit="1" customWidth="1"/>
    <col min="781" max="781" width="10.85546875" style="82" customWidth="1"/>
    <col min="782" max="782" width="14.7109375" style="82" customWidth="1"/>
    <col min="783" max="783" width="9.140625" style="82"/>
    <col min="784" max="787" width="10.28515625" style="82" bestFit="1" customWidth="1"/>
    <col min="788" max="788" width="10.28515625" style="82" customWidth="1"/>
    <col min="789" max="1024" width="9.140625" style="82"/>
    <col min="1025" max="1025" width="6.140625" style="82" customWidth="1"/>
    <col min="1026" max="1026" width="39.42578125" style="82" customWidth="1"/>
    <col min="1027" max="1027" width="6.28515625" style="82" customWidth="1"/>
    <col min="1028" max="1028" width="10.28515625" style="82" customWidth="1"/>
    <col min="1029" max="1029" width="10.42578125" style="82" customWidth="1"/>
    <col min="1030" max="1030" width="14.85546875" style="82" customWidth="1"/>
    <col min="1031" max="1031" width="11.85546875" style="82" customWidth="1"/>
    <col min="1032" max="1032" width="14.7109375" style="82" customWidth="1"/>
    <col min="1033" max="1033" width="11.42578125" style="82" bestFit="1" customWidth="1"/>
    <col min="1034" max="1034" width="9.28515625" style="82" bestFit="1" customWidth="1"/>
    <col min="1035" max="1035" width="10.28515625" style="82" bestFit="1" customWidth="1"/>
    <col min="1036" max="1036" width="9.28515625" style="82" bestFit="1" customWidth="1"/>
    <col min="1037" max="1037" width="10.85546875" style="82" customWidth="1"/>
    <col min="1038" max="1038" width="14.7109375" style="82" customWidth="1"/>
    <col min="1039" max="1039" width="9.140625" style="82"/>
    <col min="1040" max="1043" width="10.28515625" style="82" bestFit="1" customWidth="1"/>
    <col min="1044" max="1044" width="10.28515625" style="82" customWidth="1"/>
    <col min="1045" max="1280" width="9.140625" style="82"/>
    <col min="1281" max="1281" width="6.140625" style="82" customWidth="1"/>
    <col min="1282" max="1282" width="39.42578125" style="82" customWidth="1"/>
    <col min="1283" max="1283" width="6.28515625" style="82" customWidth="1"/>
    <col min="1284" max="1284" width="10.28515625" style="82" customWidth="1"/>
    <col min="1285" max="1285" width="10.42578125" style="82" customWidth="1"/>
    <col min="1286" max="1286" width="14.85546875" style="82" customWidth="1"/>
    <col min="1287" max="1287" width="11.85546875" style="82" customWidth="1"/>
    <col min="1288" max="1288" width="14.7109375" style="82" customWidth="1"/>
    <col min="1289" max="1289" width="11.42578125" style="82" bestFit="1" customWidth="1"/>
    <col min="1290" max="1290" width="9.28515625" style="82" bestFit="1" customWidth="1"/>
    <col min="1291" max="1291" width="10.28515625" style="82" bestFit="1" customWidth="1"/>
    <col min="1292" max="1292" width="9.28515625" style="82" bestFit="1" customWidth="1"/>
    <col min="1293" max="1293" width="10.85546875" style="82" customWidth="1"/>
    <col min="1294" max="1294" width="14.7109375" style="82" customWidth="1"/>
    <col min="1295" max="1295" width="9.140625" style="82"/>
    <col min="1296" max="1299" width="10.28515625" style="82" bestFit="1" customWidth="1"/>
    <col min="1300" max="1300" width="10.28515625" style="82" customWidth="1"/>
    <col min="1301" max="1536" width="9.140625" style="82"/>
    <col min="1537" max="1537" width="6.140625" style="82" customWidth="1"/>
    <col min="1538" max="1538" width="39.42578125" style="82" customWidth="1"/>
    <col min="1539" max="1539" width="6.28515625" style="82" customWidth="1"/>
    <col min="1540" max="1540" width="10.28515625" style="82" customWidth="1"/>
    <col min="1541" max="1541" width="10.42578125" style="82" customWidth="1"/>
    <col min="1542" max="1542" width="14.85546875" style="82" customWidth="1"/>
    <col min="1543" max="1543" width="11.85546875" style="82" customWidth="1"/>
    <col min="1544" max="1544" width="14.7109375" style="82" customWidth="1"/>
    <col min="1545" max="1545" width="11.42578125" style="82" bestFit="1" customWidth="1"/>
    <col min="1546" max="1546" width="9.28515625" style="82" bestFit="1" customWidth="1"/>
    <col min="1547" max="1547" width="10.28515625" style="82" bestFit="1" customWidth="1"/>
    <col min="1548" max="1548" width="9.28515625" style="82" bestFit="1" customWidth="1"/>
    <col min="1549" max="1549" width="10.85546875" style="82" customWidth="1"/>
    <col min="1550" max="1550" width="14.7109375" style="82" customWidth="1"/>
    <col min="1551" max="1551" width="9.140625" style="82"/>
    <col min="1552" max="1555" width="10.28515625" style="82" bestFit="1" customWidth="1"/>
    <col min="1556" max="1556" width="10.28515625" style="82" customWidth="1"/>
    <col min="1557" max="1792" width="9.140625" style="82"/>
    <col min="1793" max="1793" width="6.140625" style="82" customWidth="1"/>
    <col min="1794" max="1794" width="39.42578125" style="82" customWidth="1"/>
    <col min="1795" max="1795" width="6.28515625" style="82" customWidth="1"/>
    <col min="1796" max="1796" width="10.28515625" style="82" customWidth="1"/>
    <col min="1797" max="1797" width="10.42578125" style="82" customWidth="1"/>
    <col min="1798" max="1798" width="14.85546875" style="82" customWidth="1"/>
    <col min="1799" max="1799" width="11.85546875" style="82" customWidth="1"/>
    <col min="1800" max="1800" width="14.7109375" style="82" customWidth="1"/>
    <col min="1801" max="1801" width="11.42578125" style="82" bestFit="1" customWidth="1"/>
    <col min="1802" max="1802" width="9.28515625" style="82" bestFit="1" customWidth="1"/>
    <col min="1803" max="1803" width="10.28515625" style="82" bestFit="1" customWidth="1"/>
    <col min="1804" max="1804" width="9.28515625" style="82" bestFit="1" customWidth="1"/>
    <col min="1805" max="1805" width="10.85546875" style="82" customWidth="1"/>
    <col min="1806" max="1806" width="14.7109375" style="82" customWidth="1"/>
    <col min="1807" max="1807" width="9.140625" style="82"/>
    <col min="1808" max="1811" width="10.28515625" style="82" bestFit="1" customWidth="1"/>
    <col min="1812" max="1812" width="10.28515625" style="82" customWidth="1"/>
    <col min="1813" max="2048" width="9.140625" style="82"/>
    <col min="2049" max="2049" width="6.140625" style="82" customWidth="1"/>
    <col min="2050" max="2050" width="39.42578125" style="82" customWidth="1"/>
    <col min="2051" max="2051" width="6.28515625" style="82" customWidth="1"/>
    <col min="2052" max="2052" width="10.28515625" style="82" customWidth="1"/>
    <col min="2053" max="2053" width="10.42578125" style="82" customWidth="1"/>
    <col min="2054" max="2054" width="14.85546875" style="82" customWidth="1"/>
    <col min="2055" max="2055" width="11.85546875" style="82" customWidth="1"/>
    <col min="2056" max="2056" width="14.7109375" style="82" customWidth="1"/>
    <col min="2057" max="2057" width="11.42578125" style="82" bestFit="1" customWidth="1"/>
    <col min="2058" max="2058" width="9.28515625" style="82" bestFit="1" customWidth="1"/>
    <col min="2059" max="2059" width="10.28515625" style="82" bestFit="1" customWidth="1"/>
    <col min="2060" max="2060" width="9.28515625" style="82" bestFit="1" customWidth="1"/>
    <col min="2061" max="2061" width="10.85546875" style="82" customWidth="1"/>
    <col min="2062" max="2062" width="14.7109375" style="82" customWidth="1"/>
    <col min="2063" max="2063" width="9.140625" style="82"/>
    <col min="2064" max="2067" width="10.28515625" style="82" bestFit="1" customWidth="1"/>
    <col min="2068" max="2068" width="10.28515625" style="82" customWidth="1"/>
    <col min="2069" max="2304" width="9.140625" style="82"/>
    <col min="2305" max="2305" width="6.140625" style="82" customWidth="1"/>
    <col min="2306" max="2306" width="39.42578125" style="82" customWidth="1"/>
    <col min="2307" max="2307" width="6.28515625" style="82" customWidth="1"/>
    <col min="2308" max="2308" width="10.28515625" style="82" customWidth="1"/>
    <col min="2309" max="2309" width="10.42578125" style="82" customWidth="1"/>
    <col min="2310" max="2310" width="14.85546875" style="82" customWidth="1"/>
    <col min="2311" max="2311" width="11.85546875" style="82" customWidth="1"/>
    <col min="2312" max="2312" width="14.7109375" style="82" customWidth="1"/>
    <col min="2313" max="2313" width="11.42578125" style="82" bestFit="1" customWidth="1"/>
    <col min="2314" max="2314" width="9.28515625" style="82" bestFit="1" customWidth="1"/>
    <col min="2315" max="2315" width="10.28515625" style="82" bestFit="1" customWidth="1"/>
    <col min="2316" max="2316" width="9.28515625" style="82" bestFit="1" customWidth="1"/>
    <col min="2317" max="2317" width="10.85546875" style="82" customWidth="1"/>
    <col min="2318" max="2318" width="14.7109375" style="82" customWidth="1"/>
    <col min="2319" max="2319" width="9.140625" style="82"/>
    <col min="2320" max="2323" width="10.28515625" style="82" bestFit="1" customWidth="1"/>
    <col min="2324" max="2324" width="10.28515625" style="82" customWidth="1"/>
    <col min="2325" max="2560" width="9.140625" style="82"/>
    <col min="2561" max="2561" width="6.140625" style="82" customWidth="1"/>
    <col min="2562" max="2562" width="39.42578125" style="82" customWidth="1"/>
    <col min="2563" max="2563" width="6.28515625" style="82" customWidth="1"/>
    <col min="2564" max="2564" width="10.28515625" style="82" customWidth="1"/>
    <col min="2565" max="2565" width="10.42578125" style="82" customWidth="1"/>
    <col min="2566" max="2566" width="14.85546875" style="82" customWidth="1"/>
    <col min="2567" max="2567" width="11.85546875" style="82" customWidth="1"/>
    <col min="2568" max="2568" width="14.7109375" style="82" customWidth="1"/>
    <col min="2569" max="2569" width="11.42578125" style="82" bestFit="1" customWidth="1"/>
    <col min="2570" max="2570" width="9.28515625" style="82" bestFit="1" customWidth="1"/>
    <col min="2571" max="2571" width="10.28515625" style="82" bestFit="1" customWidth="1"/>
    <col min="2572" max="2572" width="9.28515625" style="82" bestFit="1" customWidth="1"/>
    <col min="2573" max="2573" width="10.85546875" style="82" customWidth="1"/>
    <col min="2574" max="2574" width="14.7109375" style="82" customWidth="1"/>
    <col min="2575" max="2575" width="9.140625" style="82"/>
    <col min="2576" max="2579" width="10.28515625" style="82" bestFit="1" customWidth="1"/>
    <col min="2580" max="2580" width="10.28515625" style="82" customWidth="1"/>
    <col min="2581" max="2816" width="9.140625" style="82"/>
    <col min="2817" max="2817" width="6.140625" style="82" customWidth="1"/>
    <col min="2818" max="2818" width="39.42578125" style="82" customWidth="1"/>
    <col min="2819" max="2819" width="6.28515625" style="82" customWidth="1"/>
    <col min="2820" max="2820" width="10.28515625" style="82" customWidth="1"/>
    <col min="2821" max="2821" width="10.42578125" style="82" customWidth="1"/>
    <col min="2822" max="2822" width="14.85546875" style="82" customWidth="1"/>
    <col min="2823" max="2823" width="11.85546875" style="82" customWidth="1"/>
    <col min="2824" max="2824" width="14.7109375" style="82" customWidth="1"/>
    <col min="2825" max="2825" width="11.42578125" style="82" bestFit="1" customWidth="1"/>
    <col min="2826" max="2826" width="9.28515625" style="82" bestFit="1" customWidth="1"/>
    <col min="2827" max="2827" width="10.28515625" style="82" bestFit="1" customWidth="1"/>
    <col min="2828" max="2828" width="9.28515625" style="82" bestFit="1" customWidth="1"/>
    <col min="2829" max="2829" width="10.85546875" style="82" customWidth="1"/>
    <col min="2830" max="2830" width="14.7109375" style="82" customWidth="1"/>
    <col min="2831" max="2831" width="9.140625" style="82"/>
    <col min="2832" max="2835" width="10.28515625" style="82" bestFit="1" customWidth="1"/>
    <col min="2836" max="2836" width="10.28515625" style="82" customWidth="1"/>
    <col min="2837" max="3072" width="9.140625" style="82"/>
    <col min="3073" max="3073" width="6.140625" style="82" customWidth="1"/>
    <col min="3074" max="3074" width="39.42578125" style="82" customWidth="1"/>
    <col min="3075" max="3075" width="6.28515625" style="82" customWidth="1"/>
    <col min="3076" max="3076" width="10.28515625" style="82" customWidth="1"/>
    <col min="3077" max="3077" width="10.42578125" style="82" customWidth="1"/>
    <col min="3078" max="3078" width="14.85546875" style="82" customWidth="1"/>
    <col min="3079" max="3079" width="11.85546875" style="82" customWidth="1"/>
    <col min="3080" max="3080" width="14.7109375" style="82" customWidth="1"/>
    <col min="3081" max="3081" width="11.42578125" style="82" bestFit="1" customWidth="1"/>
    <col min="3082" max="3082" width="9.28515625" style="82" bestFit="1" customWidth="1"/>
    <col min="3083" max="3083" width="10.28515625" style="82" bestFit="1" customWidth="1"/>
    <col min="3084" max="3084" width="9.28515625" style="82" bestFit="1" customWidth="1"/>
    <col min="3085" max="3085" width="10.85546875" style="82" customWidth="1"/>
    <col min="3086" max="3086" width="14.7109375" style="82" customWidth="1"/>
    <col min="3087" max="3087" width="9.140625" style="82"/>
    <col min="3088" max="3091" width="10.28515625" style="82" bestFit="1" customWidth="1"/>
    <col min="3092" max="3092" width="10.28515625" style="82" customWidth="1"/>
    <col min="3093" max="3328" width="9.140625" style="82"/>
    <col min="3329" max="3329" width="6.140625" style="82" customWidth="1"/>
    <col min="3330" max="3330" width="39.42578125" style="82" customWidth="1"/>
    <col min="3331" max="3331" width="6.28515625" style="82" customWidth="1"/>
    <col min="3332" max="3332" width="10.28515625" style="82" customWidth="1"/>
    <col min="3333" max="3333" width="10.42578125" style="82" customWidth="1"/>
    <col min="3334" max="3334" width="14.85546875" style="82" customWidth="1"/>
    <col min="3335" max="3335" width="11.85546875" style="82" customWidth="1"/>
    <col min="3336" max="3336" width="14.7109375" style="82" customWidth="1"/>
    <col min="3337" max="3337" width="11.42578125" style="82" bestFit="1" customWidth="1"/>
    <col min="3338" max="3338" width="9.28515625" style="82" bestFit="1" customWidth="1"/>
    <col min="3339" max="3339" width="10.28515625" style="82" bestFit="1" customWidth="1"/>
    <col min="3340" max="3340" width="9.28515625" style="82" bestFit="1" customWidth="1"/>
    <col min="3341" max="3341" width="10.85546875" style="82" customWidth="1"/>
    <col min="3342" max="3342" width="14.7109375" style="82" customWidth="1"/>
    <col min="3343" max="3343" width="9.140625" style="82"/>
    <col min="3344" max="3347" width="10.28515625" style="82" bestFit="1" customWidth="1"/>
    <col min="3348" max="3348" width="10.28515625" style="82" customWidth="1"/>
    <col min="3349" max="3584" width="9.140625" style="82"/>
    <col min="3585" max="3585" width="6.140625" style="82" customWidth="1"/>
    <col min="3586" max="3586" width="39.42578125" style="82" customWidth="1"/>
    <col min="3587" max="3587" width="6.28515625" style="82" customWidth="1"/>
    <col min="3588" max="3588" width="10.28515625" style="82" customWidth="1"/>
    <col min="3589" max="3589" width="10.42578125" style="82" customWidth="1"/>
    <col min="3590" max="3590" width="14.85546875" style="82" customWidth="1"/>
    <col min="3591" max="3591" width="11.85546875" style="82" customWidth="1"/>
    <col min="3592" max="3592" width="14.7109375" style="82" customWidth="1"/>
    <col min="3593" max="3593" width="11.42578125" style="82" bestFit="1" customWidth="1"/>
    <col min="3594" max="3594" width="9.28515625" style="82" bestFit="1" customWidth="1"/>
    <col min="3595" max="3595" width="10.28515625" style="82" bestFit="1" customWidth="1"/>
    <col min="3596" max="3596" width="9.28515625" style="82" bestFit="1" customWidth="1"/>
    <col min="3597" max="3597" width="10.85546875" style="82" customWidth="1"/>
    <col min="3598" max="3598" width="14.7109375" style="82" customWidth="1"/>
    <col min="3599" max="3599" width="9.140625" style="82"/>
    <col min="3600" max="3603" width="10.28515625" style="82" bestFit="1" customWidth="1"/>
    <col min="3604" max="3604" width="10.28515625" style="82" customWidth="1"/>
    <col min="3605" max="3840" width="9.140625" style="82"/>
    <col min="3841" max="3841" width="6.140625" style="82" customWidth="1"/>
    <col min="3842" max="3842" width="39.42578125" style="82" customWidth="1"/>
    <col min="3843" max="3843" width="6.28515625" style="82" customWidth="1"/>
    <col min="3844" max="3844" width="10.28515625" style="82" customWidth="1"/>
    <col min="3845" max="3845" width="10.42578125" style="82" customWidth="1"/>
    <col min="3846" max="3846" width="14.85546875" style="82" customWidth="1"/>
    <col min="3847" max="3847" width="11.85546875" style="82" customWidth="1"/>
    <col min="3848" max="3848" width="14.7109375" style="82" customWidth="1"/>
    <col min="3849" max="3849" width="11.42578125" style="82" bestFit="1" customWidth="1"/>
    <col min="3850" max="3850" width="9.28515625" style="82" bestFit="1" customWidth="1"/>
    <col min="3851" max="3851" width="10.28515625" style="82" bestFit="1" customWidth="1"/>
    <col min="3852" max="3852" width="9.28515625" style="82" bestFit="1" customWidth="1"/>
    <col min="3853" max="3853" width="10.85546875" style="82" customWidth="1"/>
    <col min="3854" max="3854" width="14.7109375" style="82" customWidth="1"/>
    <col min="3855" max="3855" width="9.140625" style="82"/>
    <col min="3856" max="3859" width="10.28515625" style="82" bestFit="1" customWidth="1"/>
    <col min="3860" max="3860" width="10.28515625" style="82" customWidth="1"/>
    <col min="3861" max="4096" width="9.140625" style="82"/>
    <col min="4097" max="4097" width="6.140625" style="82" customWidth="1"/>
    <col min="4098" max="4098" width="39.42578125" style="82" customWidth="1"/>
    <col min="4099" max="4099" width="6.28515625" style="82" customWidth="1"/>
    <col min="4100" max="4100" width="10.28515625" style="82" customWidth="1"/>
    <col min="4101" max="4101" width="10.42578125" style="82" customWidth="1"/>
    <col min="4102" max="4102" width="14.85546875" style="82" customWidth="1"/>
    <col min="4103" max="4103" width="11.85546875" style="82" customWidth="1"/>
    <col min="4104" max="4104" width="14.7109375" style="82" customWidth="1"/>
    <col min="4105" max="4105" width="11.42578125" style="82" bestFit="1" customWidth="1"/>
    <col min="4106" max="4106" width="9.28515625" style="82" bestFit="1" customWidth="1"/>
    <col min="4107" max="4107" width="10.28515625" style="82" bestFit="1" customWidth="1"/>
    <col min="4108" max="4108" width="9.28515625" style="82" bestFit="1" customWidth="1"/>
    <col min="4109" max="4109" width="10.85546875" style="82" customWidth="1"/>
    <col min="4110" max="4110" width="14.7109375" style="82" customWidth="1"/>
    <col min="4111" max="4111" width="9.140625" style="82"/>
    <col min="4112" max="4115" width="10.28515625" style="82" bestFit="1" customWidth="1"/>
    <col min="4116" max="4116" width="10.28515625" style="82" customWidth="1"/>
    <col min="4117" max="4352" width="9.140625" style="82"/>
    <col min="4353" max="4353" width="6.140625" style="82" customWidth="1"/>
    <col min="4354" max="4354" width="39.42578125" style="82" customWidth="1"/>
    <col min="4355" max="4355" width="6.28515625" style="82" customWidth="1"/>
    <col min="4356" max="4356" width="10.28515625" style="82" customWidth="1"/>
    <col min="4357" max="4357" width="10.42578125" style="82" customWidth="1"/>
    <col min="4358" max="4358" width="14.85546875" style="82" customWidth="1"/>
    <col min="4359" max="4359" width="11.85546875" style="82" customWidth="1"/>
    <col min="4360" max="4360" width="14.7109375" style="82" customWidth="1"/>
    <col min="4361" max="4361" width="11.42578125" style="82" bestFit="1" customWidth="1"/>
    <col min="4362" max="4362" width="9.28515625" style="82" bestFit="1" customWidth="1"/>
    <col min="4363" max="4363" width="10.28515625" style="82" bestFit="1" customWidth="1"/>
    <col min="4364" max="4364" width="9.28515625" style="82" bestFit="1" customWidth="1"/>
    <col min="4365" max="4365" width="10.85546875" style="82" customWidth="1"/>
    <col min="4366" max="4366" width="14.7109375" style="82" customWidth="1"/>
    <col min="4367" max="4367" width="9.140625" style="82"/>
    <col min="4368" max="4371" width="10.28515625" style="82" bestFit="1" customWidth="1"/>
    <col min="4372" max="4372" width="10.28515625" style="82" customWidth="1"/>
    <col min="4373" max="4608" width="9.140625" style="82"/>
    <col min="4609" max="4609" width="6.140625" style="82" customWidth="1"/>
    <col min="4610" max="4610" width="39.42578125" style="82" customWidth="1"/>
    <col min="4611" max="4611" width="6.28515625" style="82" customWidth="1"/>
    <col min="4612" max="4612" width="10.28515625" style="82" customWidth="1"/>
    <col min="4613" max="4613" width="10.42578125" style="82" customWidth="1"/>
    <col min="4614" max="4614" width="14.85546875" style="82" customWidth="1"/>
    <col min="4615" max="4615" width="11.85546875" style="82" customWidth="1"/>
    <col min="4616" max="4616" width="14.7109375" style="82" customWidth="1"/>
    <col min="4617" max="4617" width="11.42578125" style="82" bestFit="1" customWidth="1"/>
    <col min="4618" max="4618" width="9.28515625" style="82" bestFit="1" customWidth="1"/>
    <col min="4619" max="4619" width="10.28515625" style="82" bestFit="1" customWidth="1"/>
    <col min="4620" max="4620" width="9.28515625" style="82" bestFit="1" customWidth="1"/>
    <col min="4621" max="4621" width="10.85546875" style="82" customWidth="1"/>
    <col min="4622" max="4622" width="14.7109375" style="82" customWidth="1"/>
    <col min="4623" max="4623" width="9.140625" style="82"/>
    <col min="4624" max="4627" width="10.28515625" style="82" bestFit="1" customWidth="1"/>
    <col min="4628" max="4628" width="10.28515625" style="82" customWidth="1"/>
    <col min="4629" max="4864" width="9.140625" style="82"/>
    <col min="4865" max="4865" width="6.140625" style="82" customWidth="1"/>
    <col min="4866" max="4866" width="39.42578125" style="82" customWidth="1"/>
    <col min="4867" max="4867" width="6.28515625" style="82" customWidth="1"/>
    <col min="4868" max="4868" width="10.28515625" style="82" customWidth="1"/>
    <col min="4869" max="4869" width="10.42578125" style="82" customWidth="1"/>
    <col min="4870" max="4870" width="14.85546875" style="82" customWidth="1"/>
    <col min="4871" max="4871" width="11.85546875" style="82" customWidth="1"/>
    <col min="4872" max="4872" width="14.7109375" style="82" customWidth="1"/>
    <col min="4873" max="4873" width="11.42578125" style="82" bestFit="1" customWidth="1"/>
    <col min="4874" max="4874" width="9.28515625" style="82" bestFit="1" customWidth="1"/>
    <col min="4875" max="4875" width="10.28515625" style="82" bestFit="1" customWidth="1"/>
    <col min="4876" max="4876" width="9.28515625" style="82" bestFit="1" customWidth="1"/>
    <col min="4877" max="4877" width="10.85546875" style="82" customWidth="1"/>
    <col min="4878" max="4878" width="14.7109375" style="82" customWidth="1"/>
    <col min="4879" max="4879" width="9.140625" style="82"/>
    <col min="4880" max="4883" width="10.28515625" style="82" bestFit="1" customWidth="1"/>
    <col min="4884" max="4884" width="10.28515625" style="82" customWidth="1"/>
    <col min="4885" max="5120" width="9.140625" style="82"/>
    <col min="5121" max="5121" width="6.140625" style="82" customWidth="1"/>
    <col min="5122" max="5122" width="39.42578125" style="82" customWidth="1"/>
    <col min="5123" max="5123" width="6.28515625" style="82" customWidth="1"/>
    <col min="5124" max="5124" width="10.28515625" style="82" customWidth="1"/>
    <col min="5125" max="5125" width="10.42578125" style="82" customWidth="1"/>
    <col min="5126" max="5126" width="14.85546875" style="82" customWidth="1"/>
    <col min="5127" max="5127" width="11.85546875" style="82" customWidth="1"/>
    <col min="5128" max="5128" width="14.7109375" style="82" customWidth="1"/>
    <col min="5129" max="5129" width="11.42578125" style="82" bestFit="1" customWidth="1"/>
    <col min="5130" max="5130" width="9.28515625" style="82" bestFit="1" customWidth="1"/>
    <col min="5131" max="5131" width="10.28515625" style="82" bestFit="1" customWidth="1"/>
    <col min="5132" max="5132" width="9.28515625" style="82" bestFit="1" customWidth="1"/>
    <col min="5133" max="5133" width="10.85546875" style="82" customWidth="1"/>
    <col min="5134" max="5134" width="14.7109375" style="82" customWidth="1"/>
    <col min="5135" max="5135" width="9.140625" style="82"/>
    <col min="5136" max="5139" width="10.28515625" style="82" bestFit="1" customWidth="1"/>
    <col min="5140" max="5140" width="10.28515625" style="82" customWidth="1"/>
    <col min="5141" max="5376" width="9.140625" style="82"/>
    <col min="5377" max="5377" width="6.140625" style="82" customWidth="1"/>
    <col min="5378" max="5378" width="39.42578125" style="82" customWidth="1"/>
    <col min="5379" max="5379" width="6.28515625" style="82" customWidth="1"/>
    <col min="5380" max="5380" width="10.28515625" style="82" customWidth="1"/>
    <col min="5381" max="5381" width="10.42578125" style="82" customWidth="1"/>
    <col min="5382" max="5382" width="14.85546875" style="82" customWidth="1"/>
    <col min="5383" max="5383" width="11.85546875" style="82" customWidth="1"/>
    <col min="5384" max="5384" width="14.7109375" style="82" customWidth="1"/>
    <col min="5385" max="5385" width="11.42578125" style="82" bestFit="1" customWidth="1"/>
    <col min="5386" max="5386" width="9.28515625" style="82" bestFit="1" customWidth="1"/>
    <col min="5387" max="5387" width="10.28515625" style="82" bestFit="1" customWidth="1"/>
    <col min="5388" max="5388" width="9.28515625" style="82" bestFit="1" customWidth="1"/>
    <col min="5389" max="5389" width="10.85546875" style="82" customWidth="1"/>
    <col min="5390" max="5390" width="14.7109375" style="82" customWidth="1"/>
    <col min="5391" max="5391" width="9.140625" style="82"/>
    <col min="5392" max="5395" width="10.28515625" style="82" bestFit="1" customWidth="1"/>
    <col min="5396" max="5396" width="10.28515625" style="82" customWidth="1"/>
    <col min="5397" max="5632" width="9.140625" style="82"/>
    <col min="5633" max="5633" width="6.140625" style="82" customWidth="1"/>
    <col min="5634" max="5634" width="39.42578125" style="82" customWidth="1"/>
    <col min="5635" max="5635" width="6.28515625" style="82" customWidth="1"/>
    <col min="5636" max="5636" width="10.28515625" style="82" customWidth="1"/>
    <col min="5637" max="5637" width="10.42578125" style="82" customWidth="1"/>
    <col min="5638" max="5638" width="14.85546875" style="82" customWidth="1"/>
    <col min="5639" max="5639" width="11.85546875" style="82" customWidth="1"/>
    <col min="5640" max="5640" width="14.7109375" style="82" customWidth="1"/>
    <col min="5641" max="5641" width="11.42578125" style="82" bestFit="1" customWidth="1"/>
    <col min="5642" max="5642" width="9.28515625" style="82" bestFit="1" customWidth="1"/>
    <col min="5643" max="5643" width="10.28515625" style="82" bestFit="1" customWidth="1"/>
    <col min="5644" max="5644" width="9.28515625" style="82" bestFit="1" customWidth="1"/>
    <col min="5645" max="5645" width="10.85546875" style="82" customWidth="1"/>
    <col min="5646" max="5646" width="14.7109375" style="82" customWidth="1"/>
    <col min="5647" max="5647" width="9.140625" style="82"/>
    <col min="5648" max="5651" width="10.28515625" style="82" bestFit="1" customWidth="1"/>
    <col min="5652" max="5652" width="10.28515625" style="82" customWidth="1"/>
    <col min="5653" max="5888" width="9.140625" style="82"/>
    <col min="5889" max="5889" width="6.140625" style="82" customWidth="1"/>
    <col min="5890" max="5890" width="39.42578125" style="82" customWidth="1"/>
    <col min="5891" max="5891" width="6.28515625" style="82" customWidth="1"/>
    <col min="5892" max="5892" width="10.28515625" style="82" customWidth="1"/>
    <col min="5893" max="5893" width="10.42578125" style="82" customWidth="1"/>
    <col min="5894" max="5894" width="14.85546875" style="82" customWidth="1"/>
    <col min="5895" max="5895" width="11.85546875" style="82" customWidth="1"/>
    <col min="5896" max="5896" width="14.7109375" style="82" customWidth="1"/>
    <col min="5897" max="5897" width="11.42578125" style="82" bestFit="1" customWidth="1"/>
    <col min="5898" max="5898" width="9.28515625" style="82" bestFit="1" customWidth="1"/>
    <col min="5899" max="5899" width="10.28515625" style="82" bestFit="1" customWidth="1"/>
    <col min="5900" max="5900" width="9.28515625" style="82" bestFit="1" customWidth="1"/>
    <col min="5901" max="5901" width="10.85546875" style="82" customWidth="1"/>
    <col min="5902" max="5902" width="14.7109375" style="82" customWidth="1"/>
    <col min="5903" max="5903" width="9.140625" style="82"/>
    <col min="5904" max="5907" width="10.28515625" style="82" bestFit="1" customWidth="1"/>
    <col min="5908" max="5908" width="10.28515625" style="82" customWidth="1"/>
    <col min="5909" max="6144" width="9.140625" style="82"/>
    <col min="6145" max="6145" width="6.140625" style="82" customWidth="1"/>
    <col min="6146" max="6146" width="39.42578125" style="82" customWidth="1"/>
    <col min="6147" max="6147" width="6.28515625" style="82" customWidth="1"/>
    <col min="6148" max="6148" width="10.28515625" style="82" customWidth="1"/>
    <col min="6149" max="6149" width="10.42578125" style="82" customWidth="1"/>
    <col min="6150" max="6150" width="14.85546875" style="82" customWidth="1"/>
    <col min="6151" max="6151" width="11.85546875" style="82" customWidth="1"/>
    <col min="6152" max="6152" width="14.7109375" style="82" customWidth="1"/>
    <col min="6153" max="6153" width="11.42578125" style="82" bestFit="1" customWidth="1"/>
    <col min="6154" max="6154" width="9.28515625" style="82" bestFit="1" customWidth="1"/>
    <col min="6155" max="6155" width="10.28515625" style="82" bestFit="1" customWidth="1"/>
    <col min="6156" max="6156" width="9.28515625" style="82" bestFit="1" customWidth="1"/>
    <col min="6157" max="6157" width="10.85546875" style="82" customWidth="1"/>
    <col min="6158" max="6158" width="14.7109375" style="82" customWidth="1"/>
    <col min="6159" max="6159" width="9.140625" style="82"/>
    <col min="6160" max="6163" width="10.28515625" style="82" bestFit="1" customWidth="1"/>
    <col min="6164" max="6164" width="10.28515625" style="82" customWidth="1"/>
    <col min="6165" max="6400" width="9.140625" style="82"/>
    <col min="6401" max="6401" width="6.140625" style="82" customWidth="1"/>
    <col min="6402" max="6402" width="39.42578125" style="82" customWidth="1"/>
    <col min="6403" max="6403" width="6.28515625" style="82" customWidth="1"/>
    <col min="6404" max="6404" width="10.28515625" style="82" customWidth="1"/>
    <col min="6405" max="6405" width="10.42578125" style="82" customWidth="1"/>
    <col min="6406" max="6406" width="14.85546875" style="82" customWidth="1"/>
    <col min="6407" max="6407" width="11.85546875" style="82" customWidth="1"/>
    <col min="6408" max="6408" width="14.7109375" style="82" customWidth="1"/>
    <col min="6409" max="6409" width="11.42578125" style="82" bestFit="1" customWidth="1"/>
    <col min="6410" max="6410" width="9.28515625" style="82" bestFit="1" customWidth="1"/>
    <col min="6411" max="6411" width="10.28515625" style="82" bestFit="1" customWidth="1"/>
    <col min="6412" max="6412" width="9.28515625" style="82" bestFit="1" customWidth="1"/>
    <col min="6413" max="6413" width="10.85546875" style="82" customWidth="1"/>
    <col min="6414" max="6414" width="14.7109375" style="82" customWidth="1"/>
    <col min="6415" max="6415" width="9.140625" style="82"/>
    <col min="6416" max="6419" width="10.28515625" style="82" bestFit="1" customWidth="1"/>
    <col min="6420" max="6420" width="10.28515625" style="82" customWidth="1"/>
    <col min="6421" max="6656" width="9.140625" style="82"/>
    <col min="6657" max="6657" width="6.140625" style="82" customWidth="1"/>
    <col min="6658" max="6658" width="39.42578125" style="82" customWidth="1"/>
    <col min="6659" max="6659" width="6.28515625" style="82" customWidth="1"/>
    <col min="6660" max="6660" width="10.28515625" style="82" customWidth="1"/>
    <col min="6661" max="6661" width="10.42578125" style="82" customWidth="1"/>
    <col min="6662" max="6662" width="14.85546875" style="82" customWidth="1"/>
    <col min="6663" max="6663" width="11.85546875" style="82" customWidth="1"/>
    <col min="6664" max="6664" width="14.7109375" style="82" customWidth="1"/>
    <col min="6665" max="6665" width="11.42578125" style="82" bestFit="1" customWidth="1"/>
    <col min="6666" max="6666" width="9.28515625" style="82" bestFit="1" customWidth="1"/>
    <col min="6667" max="6667" width="10.28515625" style="82" bestFit="1" customWidth="1"/>
    <col min="6668" max="6668" width="9.28515625" style="82" bestFit="1" customWidth="1"/>
    <col min="6669" max="6669" width="10.85546875" style="82" customWidth="1"/>
    <col min="6670" max="6670" width="14.7109375" style="82" customWidth="1"/>
    <col min="6671" max="6671" width="9.140625" style="82"/>
    <col min="6672" max="6675" width="10.28515625" style="82" bestFit="1" customWidth="1"/>
    <col min="6676" max="6676" width="10.28515625" style="82" customWidth="1"/>
    <col min="6677" max="6912" width="9.140625" style="82"/>
    <col min="6913" max="6913" width="6.140625" style="82" customWidth="1"/>
    <col min="6914" max="6914" width="39.42578125" style="82" customWidth="1"/>
    <col min="6915" max="6915" width="6.28515625" style="82" customWidth="1"/>
    <col min="6916" max="6916" width="10.28515625" style="82" customWidth="1"/>
    <col min="6917" max="6917" width="10.42578125" style="82" customWidth="1"/>
    <col min="6918" max="6918" width="14.85546875" style="82" customWidth="1"/>
    <col min="6919" max="6919" width="11.85546875" style="82" customWidth="1"/>
    <col min="6920" max="6920" width="14.7109375" style="82" customWidth="1"/>
    <col min="6921" max="6921" width="11.42578125" style="82" bestFit="1" customWidth="1"/>
    <col min="6922" max="6922" width="9.28515625" style="82" bestFit="1" customWidth="1"/>
    <col min="6923" max="6923" width="10.28515625" style="82" bestFit="1" customWidth="1"/>
    <col min="6924" max="6924" width="9.28515625" style="82" bestFit="1" customWidth="1"/>
    <col min="6925" max="6925" width="10.85546875" style="82" customWidth="1"/>
    <col min="6926" max="6926" width="14.7109375" style="82" customWidth="1"/>
    <col min="6927" max="6927" width="9.140625" style="82"/>
    <col min="6928" max="6931" width="10.28515625" style="82" bestFit="1" customWidth="1"/>
    <col min="6932" max="6932" width="10.28515625" style="82" customWidth="1"/>
    <col min="6933" max="7168" width="9.140625" style="82"/>
    <col min="7169" max="7169" width="6.140625" style="82" customWidth="1"/>
    <col min="7170" max="7170" width="39.42578125" style="82" customWidth="1"/>
    <col min="7171" max="7171" width="6.28515625" style="82" customWidth="1"/>
    <col min="7172" max="7172" width="10.28515625" style="82" customWidth="1"/>
    <col min="7173" max="7173" width="10.42578125" style="82" customWidth="1"/>
    <col min="7174" max="7174" width="14.85546875" style="82" customWidth="1"/>
    <col min="7175" max="7175" width="11.85546875" style="82" customWidth="1"/>
    <col min="7176" max="7176" width="14.7109375" style="82" customWidth="1"/>
    <col min="7177" max="7177" width="11.42578125" style="82" bestFit="1" customWidth="1"/>
    <col min="7178" max="7178" width="9.28515625" style="82" bestFit="1" customWidth="1"/>
    <col min="7179" max="7179" width="10.28515625" style="82" bestFit="1" customWidth="1"/>
    <col min="7180" max="7180" width="9.28515625" style="82" bestFit="1" customWidth="1"/>
    <col min="7181" max="7181" width="10.85546875" style="82" customWidth="1"/>
    <col min="7182" max="7182" width="14.7109375" style="82" customWidth="1"/>
    <col min="7183" max="7183" width="9.140625" style="82"/>
    <col min="7184" max="7187" width="10.28515625" style="82" bestFit="1" customWidth="1"/>
    <col min="7188" max="7188" width="10.28515625" style="82" customWidth="1"/>
    <col min="7189" max="7424" width="9.140625" style="82"/>
    <col min="7425" max="7425" width="6.140625" style="82" customWidth="1"/>
    <col min="7426" max="7426" width="39.42578125" style="82" customWidth="1"/>
    <col min="7427" max="7427" width="6.28515625" style="82" customWidth="1"/>
    <col min="7428" max="7428" width="10.28515625" style="82" customWidth="1"/>
    <col min="7429" max="7429" width="10.42578125" style="82" customWidth="1"/>
    <col min="7430" max="7430" width="14.85546875" style="82" customWidth="1"/>
    <col min="7431" max="7431" width="11.85546875" style="82" customWidth="1"/>
    <col min="7432" max="7432" width="14.7109375" style="82" customWidth="1"/>
    <col min="7433" max="7433" width="11.42578125" style="82" bestFit="1" customWidth="1"/>
    <col min="7434" max="7434" width="9.28515625" style="82" bestFit="1" customWidth="1"/>
    <col min="7435" max="7435" width="10.28515625" style="82" bestFit="1" customWidth="1"/>
    <col min="7436" max="7436" width="9.28515625" style="82" bestFit="1" customWidth="1"/>
    <col min="7437" max="7437" width="10.85546875" style="82" customWidth="1"/>
    <col min="7438" max="7438" width="14.7109375" style="82" customWidth="1"/>
    <col min="7439" max="7439" width="9.140625" style="82"/>
    <col min="7440" max="7443" width="10.28515625" style="82" bestFit="1" customWidth="1"/>
    <col min="7444" max="7444" width="10.28515625" style="82" customWidth="1"/>
    <col min="7445" max="7680" width="9.140625" style="82"/>
    <col min="7681" max="7681" width="6.140625" style="82" customWidth="1"/>
    <col min="7682" max="7682" width="39.42578125" style="82" customWidth="1"/>
    <col min="7683" max="7683" width="6.28515625" style="82" customWidth="1"/>
    <col min="7684" max="7684" width="10.28515625" style="82" customWidth="1"/>
    <col min="7685" max="7685" width="10.42578125" style="82" customWidth="1"/>
    <col min="7686" max="7686" width="14.85546875" style="82" customWidth="1"/>
    <col min="7687" max="7687" width="11.85546875" style="82" customWidth="1"/>
    <col min="7688" max="7688" width="14.7109375" style="82" customWidth="1"/>
    <col min="7689" max="7689" width="11.42578125" style="82" bestFit="1" customWidth="1"/>
    <col min="7690" max="7690" width="9.28515625" style="82" bestFit="1" customWidth="1"/>
    <col min="7691" max="7691" width="10.28515625" style="82" bestFit="1" customWidth="1"/>
    <col min="7692" max="7692" width="9.28515625" style="82" bestFit="1" customWidth="1"/>
    <col min="7693" max="7693" width="10.85546875" style="82" customWidth="1"/>
    <col min="7694" max="7694" width="14.7109375" style="82" customWidth="1"/>
    <col min="7695" max="7695" width="9.140625" style="82"/>
    <col min="7696" max="7699" width="10.28515625" style="82" bestFit="1" customWidth="1"/>
    <col min="7700" max="7700" width="10.28515625" style="82" customWidth="1"/>
    <col min="7701" max="7936" width="9.140625" style="82"/>
    <col min="7937" max="7937" width="6.140625" style="82" customWidth="1"/>
    <col min="7938" max="7938" width="39.42578125" style="82" customWidth="1"/>
    <col min="7939" max="7939" width="6.28515625" style="82" customWidth="1"/>
    <col min="7940" max="7940" width="10.28515625" style="82" customWidth="1"/>
    <col min="7941" max="7941" width="10.42578125" style="82" customWidth="1"/>
    <col min="7942" max="7942" width="14.85546875" style="82" customWidth="1"/>
    <col min="7943" max="7943" width="11.85546875" style="82" customWidth="1"/>
    <col min="7944" max="7944" width="14.7109375" style="82" customWidth="1"/>
    <col min="7945" max="7945" width="11.42578125" style="82" bestFit="1" customWidth="1"/>
    <col min="7946" max="7946" width="9.28515625" style="82" bestFit="1" customWidth="1"/>
    <col min="7947" max="7947" width="10.28515625" style="82" bestFit="1" customWidth="1"/>
    <col min="7948" max="7948" width="9.28515625" style="82" bestFit="1" customWidth="1"/>
    <col min="7949" max="7949" width="10.85546875" style="82" customWidth="1"/>
    <col min="7950" max="7950" width="14.7109375" style="82" customWidth="1"/>
    <col min="7951" max="7951" width="9.140625" style="82"/>
    <col min="7952" max="7955" width="10.28515625" style="82" bestFit="1" customWidth="1"/>
    <col min="7956" max="7956" width="10.28515625" style="82" customWidth="1"/>
    <col min="7957" max="8192" width="9.140625" style="82"/>
    <col min="8193" max="8193" width="6.140625" style="82" customWidth="1"/>
    <col min="8194" max="8194" width="39.42578125" style="82" customWidth="1"/>
    <col min="8195" max="8195" width="6.28515625" style="82" customWidth="1"/>
    <col min="8196" max="8196" width="10.28515625" style="82" customWidth="1"/>
    <col min="8197" max="8197" width="10.42578125" style="82" customWidth="1"/>
    <col min="8198" max="8198" width="14.85546875" style="82" customWidth="1"/>
    <col min="8199" max="8199" width="11.85546875" style="82" customWidth="1"/>
    <col min="8200" max="8200" width="14.7109375" style="82" customWidth="1"/>
    <col min="8201" max="8201" width="11.42578125" style="82" bestFit="1" customWidth="1"/>
    <col min="8202" max="8202" width="9.28515625" style="82" bestFit="1" customWidth="1"/>
    <col min="8203" max="8203" width="10.28515625" style="82" bestFit="1" customWidth="1"/>
    <col min="8204" max="8204" width="9.28515625" style="82" bestFit="1" customWidth="1"/>
    <col min="8205" max="8205" width="10.85546875" style="82" customWidth="1"/>
    <col min="8206" max="8206" width="14.7109375" style="82" customWidth="1"/>
    <col min="8207" max="8207" width="9.140625" style="82"/>
    <col min="8208" max="8211" width="10.28515625" style="82" bestFit="1" customWidth="1"/>
    <col min="8212" max="8212" width="10.28515625" style="82" customWidth="1"/>
    <col min="8213" max="8448" width="9.140625" style="82"/>
    <col min="8449" max="8449" width="6.140625" style="82" customWidth="1"/>
    <col min="8450" max="8450" width="39.42578125" style="82" customWidth="1"/>
    <col min="8451" max="8451" width="6.28515625" style="82" customWidth="1"/>
    <col min="8452" max="8452" width="10.28515625" style="82" customWidth="1"/>
    <col min="8453" max="8453" width="10.42578125" style="82" customWidth="1"/>
    <col min="8454" max="8454" width="14.85546875" style="82" customWidth="1"/>
    <col min="8455" max="8455" width="11.85546875" style="82" customWidth="1"/>
    <col min="8456" max="8456" width="14.7109375" style="82" customWidth="1"/>
    <col min="8457" max="8457" width="11.42578125" style="82" bestFit="1" customWidth="1"/>
    <col min="8458" max="8458" width="9.28515625" style="82" bestFit="1" customWidth="1"/>
    <col min="8459" max="8459" width="10.28515625" style="82" bestFit="1" customWidth="1"/>
    <col min="8460" max="8460" width="9.28515625" style="82" bestFit="1" customWidth="1"/>
    <col min="8461" max="8461" width="10.85546875" style="82" customWidth="1"/>
    <col min="8462" max="8462" width="14.7109375" style="82" customWidth="1"/>
    <col min="8463" max="8463" width="9.140625" style="82"/>
    <col min="8464" max="8467" width="10.28515625" style="82" bestFit="1" customWidth="1"/>
    <col min="8468" max="8468" width="10.28515625" style="82" customWidth="1"/>
    <col min="8469" max="8704" width="9.140625" style="82"/>
    <col min="8705" max="8705" width="6.140625" style="82" customWidth="1"/>
    <col min="8706" max="8706" width="39.42578125" style="82" customWidth="1"/>
    <col min="8707" max="8707" width="6.28515625" style="82" customWidth="1"/>
    <col min="8708" max="8708" width="10.28515625" style="82" customWidth="1"/>
    <col min="8709" max="8709" width="10.42578125" style="82" customWidth="1"/>
    <col min="8710" max="8710" width="14.85546875" style="82" customWidth="1"/>
    <col min="8711" max="8711" width="11.85546875" style="82" customWidth="1"/>
    <col min="8712" max="8712" width="14.7109375" style="82" customWidth="1"/>
    <col min="8713" max="8713" width="11.42578125" style="82" bestFit="1" customWidth="1"/>
    <col min="8714" max="8714" width="9.28515625" style="82" bestFit="1" customWidth="1"/>
    <col min="8715" max="8715" width="10.28515625" style="82" bestFit="1" customWidth="1"/>
    <col min="8716" max="8716" width="9.28515625" style="82" bestFit="1" customWidth="1"/>
    <col min="8717" max="8717" width="10.85546875" style="82" customWidth="1"/>
    <col min="8718" max="8718" width="14.7109375" style="82" customWidth="1"/>
    <col min="8719" max="8719" width="9.140625" style="82"/>
    <col min="8720" max="8723" width="10.28515625" style="82" bestFit="1" customWidth="1"/>
    <col min="8724" max="8724" width="10.28515625" style="82" customWidth="1"/>
    <col min="8725" max="8960" width="9.140625" style="82"/>
    <col min="8961" max="8961" width="6.140625" style="82" customWidth="1"/>
    <col min="8962" max="8962" width="39.42578125" style="82" customWidth="1"/>
    <col min="8963" max="8963" width="6.28515625" style="82" customWidth="1"/>
    <col min="8964" max="8964" width="10.28515625" style="82" customWidth="1"/>
    <col min="8965" max="8965" width="10.42578125" style="82" customWidth="1"/>
    <col min="8966" max="8966" width="14.85546875" style="82" customWidth="1"/>
    <col min="8967" max="8967" width="11.85546875" style="82" customWidth="1"/>
    <col min="8968" max="8968" width="14.7109375" style="82" customWidth="1"/>
    <col min="8969" max="8969" width="11.42578125" style="82" bestFit="1" customWidth="1"/>
    <col min="8970" max="8970" width="9.28515625" style="82" bestFit="1" customWidth="1"/>
    <col min="8971" max="8971" width="10.28515625" style="82" bestFit="1" customWidth="1"/>
    <col min="8972" max="8972" width="9.28515625" style="82" bestFit="1" customWidth="1"/>
    <col min="8973" max="8973" width="10.85546875" style="82" customWidth="1"/>
    <col min="8974" max="8974" width="14.7109375" style="82" customWidth="1"/>
    <col min="8975" max="8975" width="9.140625" style="82"/>
    <col min="8976" max="8979" width="10.28515625" style="82" bestFit="1" customWidth="1"/>
    <col min="8980" max="8980" width="10.28515625" style="82" customWidth="1"/>
    <col min="8981" max="9216" width="9.140625" style="82"/>
    <col min="9217" max="9217" width="6.140625" style="82" customWidth="1"/>
    <col min="9218" max="9218" width="39.42578125" style="82" customWidth="1"/>
    <col min="9219" max="9219" width="6.28515625" style="82" customWidth="1"/>
    <col min="9220" max="9220" width="10.28515625" style="82" customWidth="1"/>
    <col min="9221" max="9221" width="10.42578125" style="82" customWidth="1"/>
    <col min="9222" max="9222" width="14.85546875" style="82" customWidth="1"/>
    <col min="9223" max="9223" width="11.85546875" style="82" customWidth="1"/>
    <col min="9224" max="9224" width="14.7109375" style="82" customWidth="1"/>
    <col min="9225" max="9225" width="11.42578125" style="82" bestFit="1" customWidth="1"/>
    <col min="9226" max="9226" width="9.28515625" style="82" bestFit="1" customWidth="1"/>
    <col min="9227" max="9227" width="10.28515625" style="82" bestFit="1" customWidth="1"/>
    <col min="9228" max="9228" width="9.28515625" style="82" bestFit="1" customWidth="1"/>
    <col min="9229" max="9229" width="10.85546875" style="82" customWidth="1"/>
    <col min="9230" max="9230" width="14.7109375" style="82" customWidth="1"/>
    <col min="9231" max="9231" width="9.140625" style="82"/>
    <col min="9232" max="9235" width="10.28515625" style="82" bestFit="1" customWidth="1"/>
    <col min="9236" max="9236" width="10.28515625" style="82" customWidth="1"/>
    <col min="9237" max="9472" width="9.140625" style="82"/>
    <col min="9473" max="9473" width="6.140625" style="82" customWidth="1"/>
    <col min="9474" max="9474" width="39.42578125" style="82" customWidth="1"/>
    <col min="9475" max="9475" width="6.28515625" style="82" customWidth="1"/>
    <col min="9476" max="9476" width="10.28515625" style="82" customWidth="1"/>
    <col min="9477" max="9477" width="10.42578125" style="82" customWidth="1"/>
    <col min="9478" max="9478" width="14.85546875" style="82" customWidth="1"/>
    <col min="9479" max="9479" width="11.85546875" style="82" customWidth="1"/>
    <col min="9480" max="9480" width="14.7109375" style="82" customWidth="1"/>
    <col min="9481" max="9481" width="11.42578125" style="82" bestFit="1" customWidth="1"/>
    <col min="9482" max="9482" width="9.28515625" style="82" bestFit="1" customWidth="1"/>
    <col min="9483" max="9483" width="10.28515625" style="82" bestFit="1" customWidth="1"/>
    <col min="9484" max="9484" width="9.28515625" style="82" bestFit="1" customWidth="1"/>
    <col min="9485" max="9485" width="10.85546875" style="82" customWidth="1"/>
    <col min="9486" max="9486" width="14.7109375" style="82" customWidth="1"/>
    <col min="9487" max="9487" width="9.140625" style="82"/>
    <col min="9488" max="9491" width="10.28515625" style="82" bestFit="1" customWidth="1"/>
    <col min="9492" max="9492" width="10.28515625" style="82" customWidth="1"/>
    <col min="9493" max="9728" width="9.140625" style="82"/>
    <col min="9729" max="9729" width="6.140625" style="82" customWidth="1"/>
    <col min="9730" max="9730" width="39.42578125" style="82" customWidth="1"/>
    <col min="9731" max="9731" width="6.28515625" style="82" customWidth="1"/>
    <col min="9732" max="9732" width="10.28515625" style="82" customWidth="1"/>
    <col min="9733" max="9733" width="10.42578125" style="82" customWidth="1"/>
    <col min="9734" max="9734" width="14.85546875" style="82" customWidth="1"/>
    <col min="9735" max="9735" width="11.85546875" style="82" customWidth="1"/>
    <col min="9736" max="9736" width="14.7109375" style="82" customWidth="1"/>
    <col min="9737" max="9737" width="11.42578125" style="82" bestFit="1" customWidth="1"/>
    <col min="9738" max="9738" width="9.28515625" style="82" bestFit="1" customWidth="1"/>
    <col min="9739" max="9739" width="10.28515625" style="82" bestFit="1" customWidth="1"/>
    <col min="9740" max="9740" width="9.28515625" style="82" bestFit="1" customWidth="1"/>
    <col min="9741" max="9741" width="10.85546875" style="82" customWidth="1"/>
    <col min="9742" max="9742" width="14.7109375" style="82" customWidth="1"/>
    <col min="9743" max="9743" width="9.140625" style="82"/>
    <col min="9744" max="9747" width="10.28515625" style="82" bestFit="1" customWidth="1"/>
    <col min="9748" max="9748" width="10.28515625" style="82" customWidth="1"/>
    <col min="9749" max="9984" width="9.140625" style="82"/>
    <col min="9985" max="9985" width="6.140625" style="82" customWidth="1"/>
    <col min="9986" max="9986" width="39.42578125" style="82" customWidth="1"/>
    <col min="9987" max="9987" width="6.28515625" style="82" customWidth="1"/>
    <col min="9988" max="9988" width="10.28515625" style="82" customWidth="1"/>
    <col min="9989" max="9989" width="10.42578125" style="82" customWidth="1"/>
    <col min="9990" max="9990" width="14.85546875" style="82" customWidth="1"/>
    <col min="9991" max="9991" width="11.85546875" style="82" customWidth="1"/>
    <col min="9992" max="9992" width="14.7109375" style="82" customWidth="1"/>
    <col min="9993" max="9993" width="11.42578125" style="82" bestFit="1" customWidth="1"/>
    <col min="9994" max="9994" width="9.28515625" style="82" bestFit="1" customWidth="1"/>
    <col min="9995" max="9995" width="10.28515625" style="82" bestFit="1" customWidth="1"/>
    <col min="9996" max="9996" width="9.28515625" style="82" bestFit="1" customWidth="1"/>
    <col min="9997" max="9997" width="10.85546875" style="82" customWidth="1"/>
    <col min="9998" max="9998" width="14.7109375" style="82" customWidth="1"/>
    <col min="9999" max="9999" width="9.140625" style="82"/>
    <col min="10000" max="10003" width="10.28515625" style="82" bestFit="1" customWidth="1"/>
    <col min="10004" max="10004" width="10.28515625" style="82" customWidth="1"/>
    <col min="10005" max="10240" width="9.140625" style="82"/>
    <col min="10241" max="10241" width="6.140625" style="82" customWidth="1"/>
    <col min="10242" max="10242" width="39.42578125" style="82" customWidth="1"/>
    <col min="10243" max="10243" width="6.28515625" style="82" customWidth="1"/>
    <col min="10244" max="10244" width="10.28515625" style="82" customWidth="1"/>
    <col min="10245" max="10245" width="10.42578125" style="82" customWidth="1"/>
    <col min="10246" max="10246" width="14.85546875" style="82" customWidth="1"/>
    <col min="10247" max="10247" width="11.85546875" style="82" customWidth="1"/>
    <col min="10248" max="10248" width="14.7109375" style="82" customWidth="1"/>
    <col min="10249" max="10249" width="11.42578125" style="82" bestFit="1" customWidth="1"/>
    <col min="10250" max="10250" width="9.28515625" style="82" bestFit="1" customWidth="1"/>
    <col min="10251" max="10251" width="10.28515625" style="82" bestFit="1" customWidth="1"/>
    <col min="10252" max="10252" width="9.28515625" style="82" bestFit="1" customWidth="1"/>
    <col min="10253" max="10253" width="10.85546875" style="82" customWidth="1"/>
    <col min="10254" max="10254" width="14.7109375" style="82" customWidth="1"/>
    <col min="10255" max="10255" width="9.140625" style="82"/>
    <col min="10256" max="10259" width="10.28515625" style="82" bestFit="1" customWidth="1"/>
    <col min="10260" max="10260" width="10.28515625" style="82" customWidth="1"/>
    <col min="10261" max="10496" width="9.140625" style="82"/>
    <col min="10497" max="10497" width="6.140625" style="82" customWidth="1"/>
    <col min="10498" max="10498" width="39.42578125" style="82" customWidth="1"/>
    <col min="10499" max="10499" width="6.28515625" style="82" customWidth="1"/>
    <col min="10500" max="10500" width="10.28515625" style="82" customWidth="1"/>
    <col min="10501" max="10501" width="10.42578125" style="82" customWidth="1"/>
    <col min="10502" max="10502" width="14.85546875" style="82" customWidth="1"/>
    <col min="10503" max="10503" width="11.85546875" style="82" customWidth="1"/>
    <col min="10504" max="10504" width="14.7109375" style="82" customWidth="1"/>
    <col min="10505" max="10505" width="11.42578125" style="82" bestFit="1" customWidth="1"/>
    <col min="10506" max="10506" width="9.28515625" style="82" bestFit="1" customWidth="1"/>
    <col min="10507" max="10507" width="10.28515625" style="82" bestFit="1" customWidth="1"/>
    <col min="10508" max="10508" width="9.28515625" style="82" bestFit="1" customWidth="1"/>
    <col min="10509" max="10509" width="10.85546875" style="82" customWidth="1"/>
    <col min="10510" max="10510" width="14.7109375" style="82" customWidth="1"/>
    <col min="10511" max="10511" width="9.140625" style="82"/>
    <col min="10512" max="10515" width="10.28515625" style="82" bestFit="1" customWidth="1"/>
    <col min="10516" max="10516" width="10.28515625" style="82" customWidth="1"/>
    <col min="10517" max="10752" width="9.140625" style="82"/>
    <col min="10753" max="10753" width="6.140625" style="82" customWidth="1"/>
    <col min="10754" max="10754" width="39.42578125" style="82" customWidth="1"/>
    <col min="10755" max="10755" width="6.28515625" style="82" customWidth="1"/>
    <col min="10756" max="10756" width="10.28515625" style="82" customWidth="1"/>
    <col min="10757" max="10757" width="10.42578125" style="82" customWidth="1"/>
    <col min="10758" max="10758" width="14.85546875" style="82" customWidth="1"/>
    <col min="10759" max="10759" width="11.85546875" style="82" customWidth="1"/>
    <col min="10760" max="10760" width="14.7109375" style="82" customWidth="1"/>
    <col min="10761" max="10761" width="11.42578125" style="82" bestFit="1" customWidth="1"/>
    <col min="10762" max="10762" width="9.28515625" style="82" bestFit="1" customWidth="1"/>
    <col min="10763" max="10763" width="10.28515625" style="82" bestFit="1" customWidth="1"/>
    <col min="10764" max="10764" width="9.28515625" style="82" bestFit="1" customWidth="1"/>
    <col min="10765" max="10765" width="10.85546875" style="82" customWidth="1"/>
    <col min="10766" max="10766" width="14.7109375" style="82" customWidth="1"/>
    <col min="10767" max="10767" width="9.140625" style="82"/>
    <col min="10768" max="10771" width="10.28515625" style="82" bestFit="1" customWidth="1"/>
    <col min="10772" max="10772" width="10.28515625" style="82" customWidth="1"/>
    <col min="10773" max="11008" width="9.140625" style="82"/>
    <col min="11009" max="11009" width="6.140625" style="82" customWidth="1"/>
    <col min="11010" max="11010" width="39.42578125" style="82" customWidth="1"/>
    <col min="11011" max="11011" width="6.28515625" style="82" customWidth="1"/>
    <col min="11012" max="11012" width="10.28515625" style="82" customWidth="1"/>
    <col min="11013" max="11013" width="10.42578125" style="82" customWidth="1"/>
    <col min="11014" max="11014" width="14.85546875" style="82" customWidth="1"/>
    <col min="11015" max="11015" width="11.85546875" style="82" customWidth="1"/>
    <col min="11016" max="11016" width="14.7109375" style="82" customWidth="1"/>
    <col min="11017" max="11017" width="11.42578125" style="82" bestFit="1" customWidth="1"/>
    <col min="11018" max="11018" width="9.28515625" style="82" bestFit="1" customWidth="1"/>
    <col min="11019" max="11019" width="10.28515625" style="82" bestFit="1" customWidth="1"/>
    <col min="11020" max="11020" width="9.28515625" style="82" bestFit="1" customWidth="1"/>
    <col min="11021" max="11021" width="10.85546875" style="82" customWidth="1"/>
    <col min="11022" max="11022" width="14.7109375" style="82" customWidth="1"/>
    <col min="11023" max="11023" width="9.140625" style="82"/>
    <col min="11024" max="11027" width="10.28515625" style="82" bestFit="1" customWidth="1"/>
    <col min="11028" max="11028" width="10.28515625" style="82" customWidth="1"/>
    <col min="11029" max="11264" width="9.140625" style="82"/>
    <col min="11265" max="11265" width="6.140625" style="82" customWidth="1"/>
    <col min="11266" max="11266" width="39.42578125" style="82" customWidth="1"/>
    <col min="11267" max="11267" width="6.28515625" style="82" customWidth="1"/>
    <col min="11268" max="11268" width="10.28515625" style="82" customWidth="1"/>
    <col min="11269" max="11269" width="10.42578125" style="82" customWidth="1"/>
    <col min="11270" max="11270" width="14.85546875" style="82" customWidth="1"/>
    <col min="11271" max="11271" width="11.85546875" style="82" customWidth="1"/>
    <col min="11272" max="11272" width="14.7109375" style="82" customWidth="1"/>
    <col min="11273" max="11273" width="11.42578125" style="82" bestFit="1" customWidth="1"/>
    <col min="11274" max="11274" width="9.28515625" style="82" bestFit="1" customWidth="1"/>
    <col min="11275" max="11275" width="10.28515625" style="82" bestFit="1" customWidth="1"/>
    <col min="11276" max="11276" width="9.28515625" style="82" bestFit="1" customWidth="1"/>
    <col min="11277" max="11277" width="10.85546875" style="82" customWidth="1"/>
    <col min="11278" max="11278" width="14.7109375" style="82" customWidth="1"/>
    <col min="11279" max="11279" width="9.140625" style="82"/>
    <col min="11280" max="11283" width="10.28515625" style="82" bestFit="1" customWidth="1"/>
    <col min="11284" max="11284" width="10.28515625" style="82" customWidth="1"/>
    <col min="11285" max="11520" width="9.140625" style="82"/>
    <col min="11521" max="11521" width="6.140625" style="82" customWidth="1"/>
    <col min="11522" max="11522" width="39.42578125" style="82" customWidth="1"/>
    <col min="11523" max="11523" width="6.28515625" style="82" customWidth="1"/>
    <col min="11524" max="11524" width="10.28515625" style="82" customWidth="1"/>
    <col min="11525" max="11525" width="10.42578125" style="82" customWidth="1"/>
    <col min="11526" max="11526" width="14.85546875" style="82" customWidth="1"/>
    <col min="11527" max="11527" width="11.85546875" style="82" customWidth="1"/>
    <col min="11528" max="11528" width="14.7109375" style="82" customWidth="1"/>
    <col min="11529" max="11529" width="11.42578125" style="82" bestFit="1" customWidth="1"/>
    <col min="11530" max="11530" width="9.28515625" style="82" bestFit="1" customWidth="1"/>
    <col min="11531" max="11531" width="10.28515625" style="82" bestFit="1" customWidth="1"/>
    <col min="11532" max="11532" width="9.28515625" style="82" bestFit="1" customWidth="1"/>
    <col min="11533" max="11533" width="10.85546875" style="82" customWidth="1"/>
    <col min="11534" max="11534" width="14.7109375" style="82" customWidth="1"/>
    <col min="11535" max="11535" width="9.140625" style="82"/>
    <col min="11536" max="11539" width="10.28515625" style="82" bestFit="1" customWidth="1"/>
    <col min="11540" max="11540" width="10.28515625" style="82" customWidth="1"/>
    <col min="11541" max="11776" width="9.140625" style="82"/>
    <col min="11777" max="11777" width="6.140625" style="82" customWidth="1"/>
    <col min="11778" max="11778" width="39.42578125" style="82" customWidth="1"/>
    <col min="11779" max="11779" width="6.28515625" style="82" customWidth="1"/>
    <col min="11780" max="11780" width="10.28515625" style="82" customWidth="1"/>
    <col min="11781" max="11781" width="10.42578125" style="82" customWidth="1"/>
    <col min="11782" max="11782" width="14.85546875" style="82" customWidth="1"/>
    <col min="11783" max="11783" width="11.85546875" style="82" customWidth="1"/>
    <col min="11784" max="11784" width="14.7109375" style="82" customWidth="1"/>
    <col min="11785" max="11785" width="11.42578125" style="82" bestFit="1" customWidth="1"/>
    <col min="11786" max="11786" width="9.28515625" style="82" bestFit="1" customWidth="1"/>
    <col min="11787" max="11787" width="10.28515625" style="82" bestFit="1" customWidth="1"/>
    <col min="11788" max="11788" width="9.28515625" style="82" bestFit="1" customWidth="1"/>
    <col min="11789" max="11789" width="10.85546875" style="82" customWidth="1"/>
    <col min="11790" max="11790" width="14.7109375" style="82" customWidth="1"/>
    <col min="11791" max="11791" width="9.140625" style="82"/>
    <col min="11792" max="11795" width="10.28515625" style="82" bestFit="1" customWidth="1"/>
    <col min="11796" max="11796" width="10.28515625" style="82" customWidth="1"/>
    <col min="11797" max="12032" width="9.140625" style="82"/>
    <col min="12033" max="12033" width="6.140625" style="82" customWidth="1"/>
    <col min="12034" max="12034" width="39.42578125" style="82" customWidth="1"/>
    <col min="12035" max="12035" width="6.28515625" style="82" customWidth="1"/>
    <col min="12036" max="12036" width="10.28515625" style="82" customWidth="1"/>
    <col min="12037" max="12037" width="10.42578125" style="82" customWidth="1"/>
    <col min="12038" max="12038" width="14.85546875" style="82" customWidth="1"/>
    <col min="12039" max="12039" width="11.85546875" style="82" customWidth="1"/>
    <col min="12040" max="12040" width="14.7109375" style="82" customWidth="1"/>
    <col min="12041" max="12041" width="11.42578125" style="82" bestFit="1" customWidth="1"/>
    <col min="12042" max="12042" width="9.28515625" style="82" bestFit="1" customWidth="1"/>
    <col min="12043" max="12043" width="10.28515625" style="82" bestFit="1" customWidth="1"/>
    <col min="12044" max="12044" width="9.28515625" style="82" bestFit="1" customWidth="1"/>
    <col min="12045" max="12045" width="10.85546875" style="82" customWidth="1"/>
    <col min="12046" max="12046" width="14.7109375" style="82" customWidth="1"/>
    <col min="12047" max="12047" width="9.140625" style="82"/>
    <col min="12048" max="12051" width="10.28515625" style="82" bestFit="1" customWidth="1"/>
    <col min="12052" max="12052" width="10.28515625" style="82" customWidth="1"/>
    <col min="12053" max="12288" width="9.140625" style="82"/>
    <col min="12289" max="12289" width="6.140625" style="82" customWidth="1"/>
    <col min="12290" max="12290" width="39.42578125" style="82" customWidth="1"/>
    <col min="12291" max="12291" width="6.28515625" style="82" customWidth="1"/>
    <col min="12292" max="12292" width="10.28515625" style="82" customWidth="1"/>
    <col min="12293" max="12293" width="10.42578125" style="82" customWidth="1"/>
    <col min="12294" max="12294" width="14.85546875" style="82" customWidth="1"/>
    <col min="12295" max="12295" width="11.85546875" style="82" customWidth="1"/>
    <col min="12296" max="12296" width="14.7109375" style="82" customWidth="1"/>
    <col min="12297" max="12297" width="11.42578125" style="82" bestFit="1" customWidth="1"/>
    <col min="12298" max="12298" width="9.28515625" style="82" bestFit="1" customWidth="1"/>
    <col min="12299" max="12299" width="10.28515625" style="82" bestFit="1" customWidth="1"/>
    <col min="12300" max="12300" width="9.28515625" style="82" bestFit="1" customWidth="1"/>
    <col min="12301" max="12301" width="10.85546875" style="82" customWidth="1"/>
    <col min="12302" max="12302" width="14.7109375" style="82" customWidth="1"/>
    <col min="12303" max="12303" width="9.140625" style="82"/>
    <col min="12304" max="12307" width="10.28515625" style="82" bestFit="1" customWidth="1"/>
    <col min="12308" max="12308" width="10.28515625" style="82" customWidth="1"/>
    <col min="12309" max="12544" width="9.140625" style="82"/>
    <col min="12545" max="12545" width="6.140625" style="82" customWidth="1"/>
    <col min="12546" max="12546" width="39.42578125" style="82" customWidth="1"/>
    <col min="12547" max="12547" width="6.28515625" style="82" customWidth="1"/>
    <col min="12548" max="12548" width="10.28515625" style="82" customWidth="1"/>
    <col min="12549" max="12549" width="10.42578125" style="82" customWidth="1"/>
    <col min="12550" max="12550" width="14.85546875" style="82" customWidth="1"/>
    <col min="12551" max="12551" width="11.85546875" style="82" customWidth="1"/>
    <col min="12552" max="12552" width="14.7109375" style="82" customWidth="1"/>
    <col min="12553" max="12553" width="11.42578125" style="82" bestFit="1" customWidth="1"/>
    <col min="12554" max="12554" width="9.28515625" style="82" bestFit="1" customWidth="1"/>
    <col min="12555" max="12555" width="10.28515625" style="82" bestFit="1" customWidth="1"/>
    <col min="12556" max="12556" width="9.28515625" style="82" bestFit="1" customWidth="1"/>
    <col min="12557" max="12557" width="10.85546875" style="82" customWidth="1"/>
    <col min="12558" max="12558" width="14.7109375" style="82" customWidth="1"/>
    <col min="12559" max="12559" width="9.140625" style="82"/>
    <col min="12560" max="12563" width="10.28515625" style="82" bestFit="1" customWidth="1"/>
    <col min="12564" max="12564" width="10.28515625" style="82" customWidth="1"/>
    <col min="12565" max="12800" width="9.140625" style="82"/>
    <col min="12801" max="12801" width="6.140625" style="82" customWidth="1"/>
    <col min="12802" max="12802" width="39.42578125" style="82" customWidth="1"/>
    <col min="12803" max="12803" width="6.28515625" style="82" customWidth="1"/>
    <col min="12804" max="12804" width="10.28515625" style="82" customWidth="1"/>
    <col min="12805" max="12805" width="10.42578125" style="82" customWidth="1"/>
    <col min="12806" max="12806" width="14.85546875" style="82" customWidth="1"/>
    <col min="12807" max="12807" width="11.85546875" style="82" customWidth="1"/>
    <col min="12808" max="12808" width="14.7109375" style="82" customWidth="1"/>
    <col min="12809" max="12809" width="11.42578125" style="82" bestFit="1" customWidth="1"/>
    <col min="12810" max="12810" width="9.28515625" style="82" bestFit="1" customWidth="1"/>
    <col min="12811" max="12811" width="10.28515625" style="82" bestFit="1" customWidth="1"/>
    <col min="12812" max="12812" width="9.28515625" style="82" bestFit="1" customWidth="1"/>
    <col min="12813" max="12813" width="10.85546875" style="82" customWidth="1"/>
    <col min="12814" max="12814" width="14.7109375" style="82" customWidth="1"/>
    <col min="12815" max="12815" width="9.140625" style="82"/>
    <col min="12816" max="12819" width="10.28515625" style="82" bestFit="1" customWidth="1"/>
    <col min="12820" max="12820" width="10.28515625" style="82" customWidth="1"/>
    <col min="12821" max="13056" width="9.140625" style="82"/>
    <col min="13057" max="13057" width="6.140625" style="82" customWidth="1"/>
    <col min="13058" max="13058" width="39.42578125" style="82" customWidth="1"/>
    <col min="13059" max="13059" width="6.28515625" style="82" customWidth="1"/>
    <col min="13060" max="13060" width="10.28515625" style="82" customWidth="1"/>
    <col min="13061" max="13061" width="10.42578125" style="82" customWidth="1"/>
    <col min="13062" max="13062" width="14.85546875" style="82" customWidth="1"/>
    <col min="13063" max="13063" width="11.85546875" style="82" customWidth="1"/>
    <col min="13064" max="13064" width="14.7109375" style="82" customWidth="1"/>
    <col min="13065" max="13065" width="11.42578125" style="82" bestFit="1" customWidth="1"/>
    <col min="13066" max="13066" width="9.28515625" style="82" bestFit="1" customWidth="1"/>
    <col min="13067" max="13067" width="10.28515625" style="82" bestFit="1" customWidth="1"/>
    <col min="13068" max="13068" width="9.28515625" style="82" bestFit="1" customWidth="1"/>
    <col min="13069" max="13069" width="10.85546875" style="82" customWidth="1"/>
    <col min="13070" max="13070" width="14.7109375" style="82" customWidth="1"/>
    <col min="13071" max="13071" width="9.140625" style="82"/>
    <col min="13072" max="13075" width="10.28515625" style="82" bestFit="1" customWidth="1"/>
    <col min="13076" max="13076" width="10.28515625" style="82" customWidth="1"/>
    <col min="13077" max="13312" width="9.140625" style="82"/>
    <col min="13313" max="13313" width="6.140625" style="82" customWidth="1"/>
    <col min="13314" max="13314" width="39.42578125" style="82" customWidth="1"/>
    <col min="13315" max="13315" width="6.28515625" style="82" customWidth="1"/>
    <col min="13316" max="13316" width="10.28515625" style="82" customWidth="1"/>
    <col min="13317" max="13317" width="10.42578125" style="82" customWidth="1"/>
    <col min="13318" max="13318" width="14.85546875" style="82" customWidth="1"/>
    <col min="13319" max="13319" width="11.85546875" style="82" customWidth="1"/>
    <col min="13320" max="13320" width="14.7109375" style="82" customWidth="1"/>
    <col min="13321" max="13321" width="11.42578125" style="82" bestFit="1" customWidth="1"/>
    <col min="13322" max="13322" width="9.28515625" style="82" bestFit="1" customWidth="1"/>
    <col min="13323" max="13323" width="10.28515625" style="82" bestFit="1" customWidth="1"/>
    <col min="13324" max="13324" width="9.28515625" style="82" bestFit="1" customWidth="1"/>
    <col min="13325" max="13325" width="10.85546875" style="82" customWidth="1"/>
    <col min="13326" max="13326" width="14.7109375" style="82" customWidth="1"/>
    <col min="13327" max="13327" width="9.140625" style="82"/>
    <col min="13328" max="13331" width="10.28515625" style="82" bestFit="1" customWidth="1"/>
    <col min="13332" max="13332" width="10.28515625" style="82" customWidth="1"/>
    <col min="13333" max="13568" width="9.140625" style="82"/>
    <col min="13569" max="13569" width="6.140625" style="82" customWidth="1"/>
    <col min="13570" max="13570" width="39.42578125" style="82" customWidth="1"/>
    <col min="13571" max="13571" width="6.28515625" style="82" customWidth="1"/>
    <col min="13572" max="13572" width="10.28515625" style="82" customWidth="1"/>
    <col min="13573" max="13573" width="10.42578125" style="82" customWidth="1"/>
    <col min="13574" max="13574" width="14.85546875" style="82" customWidth="1"/>
    <col min="13575" max="13575" width="11.85546875" style="82" customWidth="1"/>
    <col min="13576" max="13576" width="14.7109375" style="82" customWidth="1"/>
    <col min="13577" max="13577" width="11.42578125" style="82" bestFit="1" customWidth="1"/>
    <col min="13578" max="13578" width="9.28515625" style="82" bestFit="1" customWidth="1"/>
    <col min="13579" max="13579" width="10.28515625" style="82" bestFit="1" customWidth="1"/>
    <col min="13580" max="13580" width="9.28515625" style="82" bestFit="1" customWidth="1"/>
    <col min="13581" max="13581" width="10.85546875" style="82" customWidth="1"/>
    <col min="13582" max="13582" width="14.7109375" style="82" customWidth="1"/>
    <col min="13583" max="13583" width="9.140625" style="82"/>
    <col min="13584" max="13587" width="10.28515625" style="82" bestFit="1" customWidth="1"/>
    <col min="13588" max="13588" width="10.28515625" style="82" customWidth="1"/>
    <col min="13589" max="13824" width="9.140625" style="82"/>
    <col min="13825" max="13825" width="6.140625" style="82" customWidth="1"/>
    <col min="13826" max="13826" width="39.42578125" style="82" customWidth="1"/>
    <col min="13827" max="13827" width="6.28515625" style="82" customWidth="1"/>
    <col min="13828" max="13828" width="10.28515625" style="82" customWidth="1"/>
    <col min="13829" max="13829" width="10.42578125" style="82" customWidth="1"/>
    <col min="13830" max="13830" width="14.85546875" style="82" customWidth="1"/>
    <col min="13831" max="13831" width="11.85546875" style="82" customWidth="1"/>
    <col min="13832" max="13832" width="14.7109375" style="82" customWidth="1"/>
    <col min="13833" max="13833" width="11.42578125" style="82" bestFit="1" customWidth="1"/>
    <col min="13834" max="13834" width="9.28515625" style="82" bestFit="1" customWidth="1"/>
    <col min="13835" max="13835" width="10.28515625" style="82" bestFit="1" customWidth="1"/>
    <col min="13836" max="13836" width="9.28515625" style="82" bestFit="1" customWidth="1"/>
    <col min="13837" max="13837" width="10.85546875" style="82" customWidth="1"/>
    <col min="13838" max="13838" width="14.7109375" style="82" customWidth="1"/>
    <col min="13839" max="13839" width="9.140625" style="82"/>
    <col min="13840" max="13843" width="10.28515625" style="82" bestFit="1" customWidth="1"/>
    <col min="13844" max="13844" width="10.28515625" style="82" customWidth="1"/>
    <col min="13845" max="14080" width="9.140625" style="82"/>
    <col min="14081" max="14081" width="6.140625" style="82" customWidth="1"/>
    <col min="14082" max="14082" width="39.42578125" style="82" customWidth="1"/>
    <col min="14083" max="14083" width="6.28515625" style="82" customWidth="1"/>
    <col min="14084" max="14084" width="10.28515625" style="82" customWidth="1"/>
    <col min="14085" max="14085" width="10.42578125" style="82" customWidth="1"/>
    <col min="14086" max="14086" width="14.85546875" style="82" customWidth="1"/>
    <col min="14087" max="14087" width="11.85546875" style="82" customWidth="1"/>
    <col min="14088" max="14088" width="14.7109375" style="82" customWidth="1"/>
    <col min="14089" max="14089" width="11.42578125" style="82" bestFit="1" customWidth="1"/>
    <col min="14090" max="14090" width="9.28515625" style="82" bestFit="1" customWidth="1"/>
    <col min="14091" max="14091" width="10.28515625" style="82" bestFit="1" customWidth="1"/>
    <col min="14092" max="14092" width="9.28515625" style="82" bestFit="1" customWidth="1"/>
    <col min="14093" max="14093" width="10.85546875" style="82" customWidth="1"/>
    <col min="14094" max="14094" width="14.7109375" style="82" customWidth="1"/>
    <col min="14095" max="14095" width="9.140625" style="82"/>
    <col min="14096" max="14099" width="10.28515625" style="82" bestFit="1" customWidth="1"/>
    <col min="14100" max="14100" width="10.28515625" style="82" customWidth="1"/>
    <col min="14101" max="14336" width="9.140625" style="82"/>
    <col min="14337" max="14337" width="6.140625" style="82" customWidth="1"/>
    <col min="14338" max="14338" width="39.42578125" style="82" customWidth="1"/>
    <col min="14339" max="14339" width="6.28515625" style="82" customWidth="1"/>
    <col min="14340" max="14340" width="10.28515625" style="82" customWidth="1"/>
    <col min="14341" max="14341" width="10.42578125" style="82" customWidth="1"/>
    <col min="14342" max="14342" width="14.85546875" style="82" customWidth="1"/>
    <col min="14343" max="14343" width="11.85546875" style="82" customWidth="1"/>
    <col min="14344" max="14344" width="14.7109375" style="82" customWidth="1"/>
    <col min="14345" max="14345" width="11.42578125" style="82" bestFit="1" customWidth="1"/>
    <col min="14346" max="14346" width="9.28515625" style="82" bestFit="1" customWidth="1"/>
    <col min="14347" max="14347" width="10.28515625" style="82" bestFit="1" customWidth="1"/>
    <col min="14348" max="14348" width="9.28515625" style="82" bestFit="1" customWidth="1"/>
    <col min="14349" max="14349" width="10.85546875" style="82" customWidth="1"/>
    <col min="14350" max="14350" width="14.7109375" style="82" customWidth="1"/>
    <col min="14351" max="14351" width="9.140625" style="82"/>
    <col min="14352" max="14355" width="10.28515625" style="82" bestFit="1" customWidth="1"/>
    <col min="14356" max="14356" width="10.28515625" style="82" customWidth="1"/>
    <col min="14357" max="14592" width="9.140625" style="82"/>
    <col min="14593" max="14593" width="6.140625" style="82" customWidth="1"/>
    <col min="14594" max="14594" width="39.42578125" style="82" customWidth="1"/>
    <col min="14595" max="14595" width="6.28515625" style="82" customWidth="1"/>
    <col min="14596" max="14596" width="10.28515625" style="82" customWidth="1"/>
    <col min="14597" max="14597" width="10.42578125" style="82" customWidth="1"/>
    <col min="14598" max="14598" width="14.85546875" style="82" customWidth="1"/>
    <col min="14599" max="14599" width="11.85546875" style="82" customWidth="1"/>
    <col min="14600" max="14600" width="14.7109375" style="82" customWidth="1"/>
    <col min="14601" max="14601" width="11.42578125" style="82" bestFit="1" customWidth="1"/>
    <col min="14602" max="14602" width="9.28515625" style="82" bestFit="1" customWidth="1"/>
    <col min="14603" max="14603" width="10.28515625" style="82" bestFit="1" customWidth="1"/>
    <col min="14604" max="14604" width="9.28515625" style="82" bestFit="1" customWidth="1"/>
    <col min="14605" max="14605" width="10.85546875" style="82" customWidth="1"/>
    <col min="14606" max="14606" width="14.7109375" style="82" customWidth="1"/>
    <col min="14607" max="14607" width="9.140625" style="82"/>
    <col min="14608" max="14611" width="10.28515625" style="82" bestFit="1" customWidth="1"/>
    <col min="14612" max="14612" width="10.28515625" style="82" customWidth="1"/>
    <col min="14613" max="14848" width="9.140625" style="82"/>
    <col min="14849" max="14849" width="6.140625" style="82" customWidth="1"/>
    <col min="14850" max="14850" width="39.42578125" style="82" customWidth="1"/>
    <col min="14851" max="14851" width="6.28515625" style="82" customWidth="1"/>
    <col min="14852" max="14852" width="10.28515625" style="82" customWidth="1"/>
    <col min="14853" max="14853" width="10.42578125" style="82" customWidth="1"/>
    <col min="14854" max="14854" width="14.85546875" style="82" customWidth="1"/>
    <col min="14855" max="14855" width="11.85546875" style="82" customWidth="1"/>
    <col min="14856" max="14856" width="14.7109375" style="82" customWidth="1"/>
    <col min="14857" max="14857" width="11.42578125" style="82" bestFit="1" customWidth="1"/>
    <col min="14858" max="14858" width="9.28515625" style="82" bestFit="1" customWidth="1"/>
    <col min="14859" max="14859" width="10.28515625" style="82" bestFit="1" customWidth="1"/>
    <col min="14860" max="14860" width="9.28515625" style="82" bestFit="1" customWidth="1"/>
    <col min="14861" max="14861" width="10.85546875" style="82" customWidth="1"/>
    <col min="14862" max="14862" width="14.7109375" style="82" customWidth="1"/>
    <col min="14863" max="14863" width="9.140625" style="82"/>
    <col min="14864" max="14867" width="10.28515625" style="82" bestFit="1" customWidth="1"/>
    <col min="14868" max="14868" width="10.28515625" style="82" customWidth="1"/>
    <col min="14869" max="15104" width="9.140625" style="82"/>
    <col min="15105" max="15105" width="6.140625" style="82" customWidth="1"/>
    <col min="15106" max="15106" width="39.42578125" style="82" customWidth="1"/>
    <col min="15107" max="15107" width="6.28515625" style="82" customWidth="1"/>
    <col min="15108" max="15108" width="10.28515625" style="82" customWidth="1"/>
    <col min="15109" max="15109" width="10.42578125" style="82" customWidth="1"/>
    <col min="15110" max="15110" width="14.85546875" style="82" customWidth="1"/>
    <col min="15111" max="15111" width="11.85546875" style="82" customWidth="1"/>
    <col min="15112" max="15112" width="14.7109375" style="82" customWidth="1"/>
    <col min="15113" max="15113" width="11.42578125" style="82" bestFit="1" customWidth="1"/>
    <col min="15114" max="15114" width="9.28515625" style="82" bestFit="1" customWidth="1"/>
    <col min="15115" max="15115" width="10.28515625" style="82" bestFit="1" customWidth="1"/>
    <col min="15116" max="15116" width="9.28515625" style="82" bestFit="1" customWidth="1"/>
    <col min="15117" max="15117" width="10.85546875" style="82" customWidth="1"/>
    <col min="15118" max="15118" width="14.7109375" style="82" customWidth="1"/>
    <col min="15119" max="15119" width="9.140625" style="82"/>
    <col min="15120" max="15123" width="10.28515625" style="82" bestFit="1" customWidth="1"/>
    <col min="15124" max="15124" width="10.28515625" style="82" customWidth="1"/>
    <col min="15125" max="15360" width="9.140625" style="82"/>
    <col min="15361" max="15361" width="6.140625" style="82" customWidth="1"/>
    <col min="15362" max="15362" width="39.42578125" style="82" customWidth="1"/>
    <col min="15363" max="15363" width="6.28515625" style="82" customWidth="1"/>
    <col min="15364" max="15364" width="10.28515625" style="82" customWidth="1"/>
    <col min="15365" max="15365" width="10.42578125" style="82" customWidth="1"/>
    <col min="15366" max="15366" width="14.85546875" style="82" customWidth="1"/>
    <col min="15367" max="15367" width="11.85546875" style="82" customWidth="1"/>
    <col min="15368" max="15368" width="14.7109375" style="82" customWidth="1"/>
    <col min="15369" max="15369" width="11.42578125" style="82" bestFit="1" customWidth="1"/>
    <col min="15370" max="15370" width="9.28515625" style="82" bestFit="1" customWidth="1"/>
    <col min="15371" max="15371" width="10.28515625" style="82" bestFit="1" customWidth="1"/>
    <col min="15372" max="15372" width="9.28515625" style="82" bestFit="1" customWidth="1"/>
    <col min="15373" max="15373" width="10.85546875" style="82" customWidth="1"/>
    <col min="15374" max="15374" width="14.7109375" style="82" customWidth="1"/>
    <col min="15375" max="15375" width="9.140625" style="82"/>
    <col min="15376" max="15379" width="10.28515625" style="82" bestFit="1" customWidth="1"/>
    <col min="15380" max="15380" width="10.28515625" style="82" customWidth="1"/>
    <col min="15381" max="15616" width="9.140625" style="82"/>
    <col min="15617" max="15617" width="6.140625" style="82" customWidth="1"/>
    <col min="15618" max="15618" width="39.42578125" style="82" customWidth="1"/>
    <col min="15619" max="15619" width="6.28515625" style="82" customWidth="1"/>
    <col min="15620" max="15620" width="10.28515625" style="82" customWidth="1"/>
    <col min="15621" max="15621" width="10.42578125" style="82" customWidth="1"/>
    <col min="15622" max="15622" width="14.85546875" style="82" customWidth="1"/>
    <col min="15623" max="15623" width="11.85546875" style="82" customWidth="1"/>
    <col min="15624" max="15624" width="14.7109375" style="82" customWidth="1"/>
    <col min="15625" max="15625" width="11.42578125" style="82" bestFit="1" customWidth="1"/>
    <col min="15626" max="15626" width="9.28515625" style="82" bestFit="1" customWidth="1"/>
    <col min="15627" max="15627" width="10.28515625" style="82" bestFit="1" customWidth="1"/>
    <col min="15628" max="15628" width="9.28515625" style="82" bestFit="1" customWidth="1"/>
    <col min="15629" max="15629" width="10.85546875" style="82" customWidth="1"/>
    <col min="15630" max="15630" width="14.7109375" style="82" customWidth="1"/>
    <col min="15631" max="15631" width="9.140625" style="82"/>
    <col min="15632" max="15635" width="10.28515625" style="82" bestFit="1" customWidth="1"/>
    <col min="15636" max="15636" width="10.28515625" style="82" customWidth="1"/>
    <col min="15637" max="15872" width="9.140625" style="82"/>
    <col min="15873" max="15873" width="6.140625" style="82" customWidth="1"/>
    <col min="15874" max="15874" width="39.42578125" style="82" customWidth="1"/>
    <col min="15875" max="15875" width="6.28515625" style="82" customWidth="1"/>
    <col min="15876" max="15876" width="10.28515625" style="82" customWidth="1"/>
    <col min="15877" max="15877" width="10.42578125" style="82" customWidth="1"/>
    <col min="15878" max="15878" width="14.85546875" style="82" customWidth="1"/>
    <col min="15879" max="15879" width="11.85546875" style="82" customWidth="1"/>
    <col min="15880" max="15880" width="14.7109375" style="82" customWidth="1"/>
    <col min="15881" max="15881" width="11.42578125" style="82" bestFit="1" customWidth="1"/>
    <col min="15882" max="15882" width="9.28515625" style="82" bestFit="1" customWidth="1"/>
    <col min="15883" max="15883" width="10.28515625" style="82" bestFit="1" customWidth="1"/>
    <col min="15884" max="15884" width="9.28515625" style="82" bestFit="1" customWidth="1"/>
    <col min="15885" max="15885" width="10.85546875" style="82" customWidth="1"/>
    <col min="15886" max="15886" width="14.7109375" style="82" customWidth="1"/>
    <col min="15887" max="15887" width="9.140625" style="82"/>
    <col min="15888" max="15891" width="10.28515625" style="82" bestFit="1" customWidth="1"/>
    <col min="15892" max="15892" width="10.28515625" style="82" customWidth="1"/>
    <col min="15893" max="16128" width="9.140625" style="82"/>
    <col min="16129" max="16129" width="6.140625" style="82" customWidth="1"/>
    <col min="16130" max="16130" width="39.42578125" style="82" customWidth="1"/>
    <col min="16131" max="16131" width="6.28515625" style="82" customWidth="1"/>
    <col min="16132" max="16132" width="10.28515625" style="82" customWidth="1"/>
    <col min="16133" max="16133" width="10.42578125" style="82" customWidth="1"/>
    <col min="16134" max="16134" width="14.85546875" style="82" customWidth="1"/>
    <col min="16135" max="16135" width="11.85546875" style="82" customWidth="1"/>
    <col min="16136" max="16136" width="14.7109375" style="82" customWidth="1"/>
    <col min="16137" max="16137" width="11.42578125" style="82" bestFit="1" customWidth="1"/>
    <col min="16138" max="16138" width="9.28515625" style="82" bestFit="1" customWidth="1"/>
    <col min="16139" max="16139" width="10.28515625" style="82" bestFit="1" customWidth="1"/>
    <col min="16140" max="16140" width="9.28515625" style="82" bestFit="1" customWidth="1"/>
    <col min="16141" max="16141" width="10.85546875" style="82" customWidth="1"/>
    <col min="16142" max="16142" width="14.7109375" style="82" customWidth="1"/>
    <col min="16143" max="16143" width="9.140625" style="82"/>
    <col min="16144" max="16147" width="10.28515625" style="82" bestFit="1" customWidth="1"/>
    <col min="16148" max="16148" width="10.28515625" style="82" customWidth="1"/>
    <col min="16149" max="16384" width="9.140625" style="82"/>
  </cols>
  <sheetData>
    <row r="3" spans="1:18" x14ac:dyDescent="0.25">
      <c r="H3" s="83"/>
    </row>
    <row r="5" spans="1:18" ht="12" customHeight="1" x14ac:dyDescent="0.25">
      <c r="H5" s="83"/>
    </row>
    <row r="6" spans="1:18" x14ac:dyDescent="0.25">
      <c r="A6" s="323" t="s">
        <v>179</v>
      </c>
      <c r="B6" s="323"/>
      <c r="C6" s="323"/>
      <c r="D6" s="323"/>
      <c r="E6" s="323"/>
      <c r="F6" s="323"/>
      <c r="G6" s="83"/>
      <c r="I6" s="83"/>
    </row>
    <row r="7" spans="1:18" x14ac:dyDescent="0.25">
      <c r="A7" s="85"/>
      <c r="B7" s="85"/>
      <c r="C7" s="84"/>
      <c r="D7" s="85"/>
      <c r="E7" s="85"/>
      <c r="F7" s="85"/>
      <c r="H7" s="83"/>
    </row>
    <row r="9" spans="1:18" x14ac:dyDescent="0.25">
      <c r="A9" s="86" t="s">
        <v>180</v>
      </c>
      <c r="B9" s="87" t="s">
        <v>181</v>
      </c>
      <c r="E9" s="88" t="s">
        <v>182</v>
      </c>
      <c r="F9" s="89">
        <v>45589</v>
      </c>
      <c r="G9" s="82">
        <v>42966.95</v>
      </c>
    </row>
    <row r="10" spans="1:18" x14ac:dyDescent="0.25">
      <c r="A10" s="86" t="s">
        <v>183</v>
      </c>
      <c r="B10" s="87" t="s">
        <v>184</v>
      </c>
      <c r="G10" s="82">
        <f>G9</f>
        <v>42966.95</v>
      </c>
    </row>
    <row r="11" spans="1:18" x14ac:dyDescent="0.25">
      <c r="A11" s="86" t="s">
        <v>185</v>
      </c>
      <c r="B11" s="324" t="s">
        <v>186</v>
      </c>
      <c r="C11" s="324"/>
      <c r="D11" s="324"/>
      <c r="E11" s="324"/>
      <c r="F11" s="324"/>
      <c r="I11" s="82" t="s">
        <v>187</v>
      </c>
      <c r="J11" s="82">
        <v>1.4</v>
      </c>
      <c r="K11" s="90">
        <f>1-(1/J11)</f>
        <v>0.2857142857142857</v>
      </c>
      <c r="L11" s="90">
        <v>0.115</v>
      </c>
      <c r="M11" s="90">
        <f>K11-L11</f>
        <v>0.17071428571428571</v>
      </c>
      <c r="N11" s="82">
        <f>M11*F116</f>
        <v>1366330.6442194032</v>
      </c>
    </row>
    <row r="12" spans="1:18" hidden="1" x14ac:dyDescent="0.25">
      <c r="A12" s="91"/>
    </row>
    <row r="13" spans="1:18" hidden="1" x14ac:dyDescent="0.25">
      <c r="G13" s="83"/>
      <c r="H13" s="83"/>
    </row>
    <row r="14" spans="1:18" x14ac:dyDescent="0.25">
      <c r="A14" s="92" t="s">
        <v>188</v>
      </c>
      <c r="B14" s="93" t="s">
        <v>189</v>
      </c>
      <c r="C14" s="94" t="s">
        <v>190</v>
      </c>
      <c r="D14" s="94" t="s">
        <v>191</v>
      </c>
      <c r="E14" s="94" t="s">
        <v>192</v>
      </c>
      <c r="F14" s="94" t="s">
        <v>193</v>
      </c>
      <c r="I14" s="82" t="s">
        <v>194</v>
      </c>
      <c r="J14" s="82" t="s">
        <v>195</v>
      </c>
      <c r="K14" s="82" t="s">
        <v>196</v>
      </c>
      <c r="L14" s="82" t="s">
        <v>197</v>
      </c>
      <c r="M14" s="82" t="s">
        <v>198</v>
      </c>
    </row>
    <row r="15" spans="1:18" x14ac:dyDescent="0.25">
      <c r="A15" s="95"/>
      <c r="B15" s="96"/>
      <c r="C15" s="97"/>
      <c r="D15" s="97"/>
      <c r="E15" s="97"/>
      <c r="F15" s="97"/>
    </row>
    <row r="16" spans="1:18" x14ac:dyDescent="0.25">
      <c r="A16" s="98">
        <v>1</v>
      </c>
      <c r="B16" s="99" t="s">
        <v>199</v>
      </c>
      <c r="C16" s="100"/>
      <c r="D16" s="100"/>
      <c r="E16" s="100"/>
      <c r="F16" s="100"/>
      <c r="Q16" s="82">
        <v>22</v>
      </c>
      <c r="R16" s="82">
        <v>22</v>
      </c>
    </row>
    <row r="17" spans="1:20" ht="25.5" x14ac:dyDescent="0.25">
      <c r="A17" s="98" t="s">
        <v>7</v>
      </c>
      <c r="B17" s="99" t="s">
        <v>200</v>
      </c>
      <c r="C17" s="100" t="s">
        <v>98</v>
      </c>
      <c r="D17" s="101">
        <v>70543.759999999995</v>
      </c>
      <c r="E17" s="100">
        <f t="shared" ref="E17:E22" si="0">M17</f>
        <v>2.9857333333333331</v>
      </c>
      <c r="F17" s="100">
        <f t="shared" ref="F17:F22" si="1">E17*D17</f>
        <v>210624.85569066665</v>
      </c>
      <c r="G17" s="102" t="e">
        <f t="shared" ref="G17:G22" si="2">F17/$F$119</f>
        <v>#DIV/0!</v>
      </c>
      <c r="H17" s="82">
        <f t="shared" ref="H17:H22" si="3">I17*D17</f>
        <v>0</v>
      </c>
      <c r="I17" s="128">
        <v>0</v>
      </c>
      <c r="J17" s="128">
        <v>0</v>
      </c>
      <c r="K17" s="128">
        <f>T18/(3000*7)</f>
        <v>2.1326666666666667</v>
      </c>
      <c r="L17" s="82">
        <f t="shared" ref="L17:L22" si="4">SUM(I17:K17)</f>
        <v>2.1326666666666667</v>
      </c>
      <c r="M17" s="82">
        <f t="shared" ref="M17:M22" si="5">L17*$J$11</f>
        <v>2.9857333333333331</v>
      </c>
      <c r="O17" s="88" t="s">
        <v>201</v>
      </c>
      <c r="P17" s="82">
        <f>24000+4000</f>
        <v>28000</v>
      </c>
      <c r="Q17" s="82">
        <f>16*7*6.5*$Q$16</f>
        <v>16016</v>
      </c>
      <c r="R17" s="82">
        <f>(25+10)*$R$16</f>
        <v>770</v>
      </c>
      <c r="S17" s="82">
        <v>1</v>
      </c>
      <c r="T17" s="82">
        <f>SUM(P17:R17)*S17</f>
        <v>44786</v>
      </c>
    </row>
    <row r="18" spans="1:20" x14ac:dyDescent="0.25">
      <c r="A18" s="98" t="s">
        <v>9</v>
      </c>
      <c r="B18" s="99" t="s">
        <v>202</v>
      </c>
      <c r="C18" s="100" t="s">
        <v>203</v>
      </c>
      <c r="D18" s="101">
        <f>D17*0.2</f>
        <v>14108.752</v>
      </c>
      <c r="E18" s="100">
        <f t="shared" si="0"/>
        <v>3.1666868686868686</v>
      </c>
      <c r="F18" s="100">
        <f t="shared" si="1"/>
        <v>44677.999691959594</v>
      </c>
      <c r="G18" s="102" t="e">
        <f t="shared" si="2"/>
        <v>#DIV/0!</v>
      </c>
      <c r="H18" s="82">
        <f t="shared" si="3"/>
        <v>0</v>
      </c>
      <c r="I18" s="128">
        <v>0</v>
      </c>
      <c r="J18" s="128">
        <v>0</v>
      </c>
      <c r="K18" s="128">
        <f>T17/R16/900</f>
        <v>2.2619191919191919</v>
      </c>
      <c r="L18" s="82">
        <f t="shared" si="4"/>
        <v>2.2619191919191919</v>
      </c>
      <c r="M18" s="82">
        <f t="shared" si="5"/>
        <v>3.1666868686868686</v>
      </c>
      <c r="O18" s="88" t="s">
        <v>204</v>
      </c>
      <c r="P18" s="82">
        <f>24000+4000</f>
        <v>28000</v>
      </c>
      <c r="Q18" s="82">
        <f>16*7*6.5*$Q$16</f>
        <v>16016</v>
      </c>
      <c r="R18" s="82">
        <f>(25+10)*$R$16</f>
        <v>770</v>
      </c>
      <c r="S18" s="82">
        <v>1</v>
      </c>
      <c r="T18" s="82">
        <f>SUM(P18:R18)*S18</f>
        <v>44786</v>
      </c>
    </row>
    <row r="19" spans="1:20" x14ac:dyDescent="0.25">
      <c r="A19" s="98" t="s">
        <v>12</v>
      </c>
      <c r="B19" s="99" t="s">
        <v>205</v>
      </c>
      <c r="C19" s="100" t="s">
        <v>203</v>
      </c>
      <c r="D19" s="101">
        <v>39676.239999999998</v>
      </c>
      <c r="E19" s="100">
        <f t="shared" si="0"/>
        <v>4.7500303030303028</v>
      </c>
      <c r="F19" s="100">
        <f t="shared" si="1"/>
        <v>188463.34231030301</v>
      </c>
      <c r="G19" s="102" t="e">
        <f t="shared" si="2"/>
        <v>#DIV/0!</v>
      </c>
      <c r="H19" s="82">
        <f t="shared" si="3"/>
        <v>0</v>
      </c>
      <c r="I19" s="128">
        <v>0</v>
      </c>
      <c r="J19" s="128">
        <v>0</v>
      </c>
      <c r="K19" s="128">
        <f>T17/R16/600</f>
        <v>3.392878787878788</v>
      </c>
      <c r="L19" s="82">
        <f t="shared" si="4"/>
        <v>3.392878787878788</v>
      </c>
      <c r="M19" s="82">
        <f t="shared" si="5"/>
        <v>4.7500303030303028</v>
      </c>
      <c r="O19" s="88" t="s">
        <v>206</v>
      </c>
      <c r="P19" s="82">
        <f>15000+3000</f>
        <v>18000</v>
      </c>
      <c r="Q19" s="82">
        <f>8*7*6.5*$Q$16</f>
        <v>8008</v>
      </c>
      <c r="R19" s="82">
        <f>(25+10)*$R$16</f>
        <v>770</v>
      </c>
      <c r="S19" s="82">
        <v>2</v>
      </c>
      <c r="T19" s="82">
        <f t="shared" ref="T19:T24" si="6">SUM(P19:R19)*S19</f>
        <v>53556</v>
      </c>
    </row>
    <row r="20" spans="1:20" x14ac:dyDescent="0.25">
      <c r="A20" s="98" t="s">
        <v>207</v>
      </c>
      <c r="B20" s="99" t="s">
        <v>208</v>
      </c>
      <c r="C20" s="100" t="s">
        <v>203</v>
      </c>
      <c r="D20" s="101">
        <f>D19</f>
        <v>39676.239999999998</v>
      </c>
      <c r="E20" s="100">
        <f t="shared" si="0"/>
        <v>5.46</v>
      </c>
      <c r="F20" s="100">
        <f t="shared" si="1"/>
        <v>216632.27039999998</v>
      </c>
      <c r="G20" s="102" t="e">
        <f t="shared" si="2"/>
        <v>#DIV/0!</v>
      </c>
      <c r="H20" s="82">
        <f t="shared" si="3"/>
        <v>0</v>
      </c>
      <c r="I20" s="128">
        <v>0</v>
      </c>
      <c r="J20" s="128">
        <v>0</v>
      </c>
      <c r="K20" s="128">
        <f>T24/T25</f>
        <v>3.9000000000000004</v>
      </c>
      <c r="L20" s="82">
        <f t="shared" si="4"/>
        <v>3.9000000000000004</v>
      </c>
      <c r="M20" s="82">
        <f t="shared" si="5"/>
        <v>5.46</v>
      </c>
      <c r="O20" s="88" t="s">
        <v>209</v>
      </c>
      <c r="P20" s="82">
        <f>19000+3000</f>
        <v>22000</v>
      </c>
      <c r="Q20" s="82">
        <f>6*7*6.5*$Q$16</f>
        <v>6006</v>
      </c>
      <c r="R20" s="82">
        <f>(25+10)*$R$16</f>
        <v>770</v>
      </c>
      <c r="S20" s="82">
        <v>1</v>
      </c>
      <c r="T20" s="82">
        <f t="shared" si="6"/>
        <v>28776</v>
      </c>
    </row>
    <row r="21" spans="1:20" x14ac:dyDescent="0.25">
      <c r="A21" s="98" t="s">
        <v>210</v>
      </c>
      <c r="B21" s="99" t="s">
        <v>211</v>
      </c>
      <c r="C21" s="100" t="s">
        <v>203</v>
      </c>
      <c r="D21" s="101">
        <v>13592.94</v>
      </c>
      <c r="E21" s="100">
        <f t="shared" si="0"/>
        <v>13.673121212121213</v>
      </c>
      <c r="F21" s="100">
        <f t="shared" si="1"/>
        <v>185857.91624909092</v>
      </c>
      <c r="G21" s="102" t="e">
        <f t="shared" si="2"/>
        <v>#DIV/0!</v>
      </c>
      <c r="H21" s="82">
        <f t="shared" si="3"/>
        <v>0</v>
      </c>
      <c r="I21" s="128">
        <v>0</v>
      </c>
      <c r="J21" s="128">
        <v>0</v>
      </c>
      <c r="K21" s="128">
        <f>(T18+T19+T20+T21)/R16/600</f>
        <v>9.7665151515151525</v>
      </c>
      <c r="L21" s="82">
        <f t="shared" si="4"/>
        <v>9.7665151515151525</v>
      </c>
      <c r="M21" s="82">
        <f t="shared" si="5"/>
        <v>13.673121212121213</v>
      </c>
      <c r="O21" s="88" t="s">
        <v>212</v>
      </c>
      <c r="P21" s="82">
        <f>300*3*2</f>
        <v>1800</v>
      </c>
      <c r="Q21" s="82">
        <v>0</v>
      </c>
      <c r="R21" s="82">
        <v>0</v>
      </c>
      <c r="T21" s="82">
        <f>SUM(P21:R21)</f>
        <v>1800</v>
      </c>
    </row>
    <row r="22" spans="1:20" x14ac:dyDescent="0.25">
      <c r="A22" s="98" t="s">
        <v>213</v>
      </c>
      <c r="B22" s="99" t="s">
        <v>214</v>
      </c>
      <c r="C22" s="100" t="s">
        <v>203</v>
      </c>
      <c r="D22" s="101">
        <f>(D19-D21)+D18</f>
        <v>40192.051999999996</v>
      </c>
      <c r="E22" s="100">
        <f t="shared" si="0"/>
        <v>2.3750151515151514</v>
      </c>
      <c r="F22" s="100">
        <f t="shared" si="1"/>
        <v>95456.732470484829</v>
      </c>
      <c r="G22" s="102" t="e">
        <f t="shared" si="2"/>
        <v>#DIV/0!</v>
      </c>
      <c r="H22" s="82">
        <f t="shared" si="3"/>
        <v>0</v>
      </c>
      <c r="I22" s="128">
        <v>0</v>
      </c>
      <c r="J22" s="128">
        <v>0</v>
      </c>
      <c r="K22" s="128">
        <f>T17/R16/600/2</f>
        <v>1.696439393939394</v>
      </c>
      <c r="L22" s="82">
        <f t="shared" si="4"/>
        <v>1.696439393939394</v>
      </c>
      <c r="M22" s="82">
        <f t="shared" si="5"/>
        <v>2.3750151515151514</v>
      </c>
      <c r="T22" s="82">
        <f ca="1">SUM(T18:T23)/R16</f>
        <v>6138.9523809523807</v>
      </c>
    </row>
    <row r="23" spans="1:20" x14ac:dyDescent="0.25">
      <c r="A23" s="98"/>
      <c r="B23" s="99" t="s">
        <v>215</v>
      </c>
      <c r="C23" s="100"/>
      <c r="D23" s="100"/>
      <c r="E23" s="100"/>
      <c r="F23" s="100">
        <f>SUM(F16:F22)</f>
        <v>941713.11681250494</v>
      </c>
      <c r="I23" s="128"/>
      <c r="J23" s="128"/>
      <c r="K23" s="128"/>
    </row>
    <row r="24" spans="1:20" x14ac:dyDescent="0.25">
      <c r="A24" s="98"/>
      <c r="B24" s="99"/>
      <c r="C24" s="100"/>
      <c r="D24" s="100"/>
      <c r="E24" s="103"/>
      <c r="F24" s="100"/>
      <c r="I24" s="128"/>
      <c r="J24" s="128"/>
      <c r="K24" s="128"/>
      <c r="M24" s="83"/>
      <c r="O24" s="82" t="s">
        <v>216</v>
      </c>
      <c r="P24" s="82">
        <f>900</f>
        <v>900</v>
      </c>
      <c r="Q24" s="82">
        <f>30*2/1*6.5</f>
        <v>390</v>
      </c>
      <c r="R24" s="82">
        <f>((25+10)*$R$16)/R16</f>
        <v>35</v>
      </c>
      <c r="S24" s="82">
        <v>1</v>
      </c>
      <c r="T24" s="82">
        <f t="shared" si="6"/>
        <v>1325</v>
      </c>
    </row>
    <row r="25" spans="1:20" x14ac:dyDescent="0.25">
      <c r="A25" s="98">
        <v>2</v>
      </c>
      <c r="B25" s="99" t="s">
        <v>217</v>
      </c>
      <c r="C25" s="100"/>
      <c r="D25" s="100"/>
      <c r="E25" s="100"/>
      <c r="F25" s="100"/>
      <c r="I25" s="128"/>
      <c r="J25" s="128"/>
      <c r="K25" s="128"/>
      <c r="T25" s="82">
        <f>T24/30*10/1.3</f>
        <v>339.74358974358972</v>
      </c>
    </row>
    <row r="26" spans="1:20" x14ac:dyDescent="0.25">
      <c r="A26" s="98" t="s">
        <v>16</v>
      </c>
      <c r="B26" s="99" t="s">
        <v>218</v>
      </c>
      <c r="C26" s="100" t="s">
        <v>203</v>
      </c>
      <c r="D26" s="100">
        <f>G10*0.15</f>
        <v>6445.0424999999996</v>
      </c>
      <c r="E26" s="100">
        <f t="shared" ref="E26:E33" si="7">M26</f>
        <v>30.196891666666662</v>
      </c>
      <c r="F26" s="100">
        <f t="shared" ref="F26:F33" si="8">E26*D26</f>
        <v>194620.25015956245</v>
      </c>
      <c r="G26" s="102" t="e">
        <f t="shared" ref="G26:G33" si="9">F26/$F$119</f>
        <v>#DIV/0!</v>
      </c>
      <c r="H26" s="82">
        <f t="shared" ref="H26:H33" si="10">I26*D26</f>
        <v>0</v>
      </c>
      <c r="I26" s="128">
        <v>0</v>
      </c>
      <c r="J26" s="128">
        <v>0</v>
      </c>
      <c r="K26" s="128">
        <f>(K19+K19/2+K20+K21)*1.15</f>
        <v>21.569208333333332</v>
      </c>
      <c r="L26" s="82">
        <f t="shared" ref="L26:L33" si="11">SUM(I26:K26)</f>
        <v>21.569208333333332</v>
      </c>
      <c r="M26" s="82">
        <f t="shared" ref="M26:M33" si="12">L26*$J$11</f>
        <v>30.196891666666662</v>
      </c>
    </row>
    <row r="27" spans="1:20" x14ac:dyDescent="0.25">
      <c r="A27" s="98" t="s">
        <v>106</v>
      </c>
      <c r="B27" s="99" t="s">
        <v>218</v>
      </c>
      <c r="C27" s="100" t="s">
        <v>203</v>
      </c>
      <c r="D27" s="100">
        <f>G9*0.1</f>
        <v>4296.6949999999997</v>
      </c>
      <c r="E27" s="100">
        <f t="shared" si="7"/>
        <v>30.196891666666662</v>
      </c>
      <c r="F27" s="100">
        <f t="shared" si="8"/>
        <v>129746.83343970831</v>
      </c>
      <c r="G27" s="102" t="e">
        <f t="shared" si="9"/>
        <v>#DIV/0!</v>
      </c>
      <c r="H27" s="82">
        <f t="shared" si="10"/>
        <v>0</v>
      </c>
      <c r="I27" s="128">
        <v>0</v>
      </c>
      <c r="J27" s="128">
        <v>0</v>
      </c>
      <c r="K27" s="128">
        <f>K26</f>
        <v>21.569208333333332</v>
      </c>
      <c r="L27" s="82">
        <f t="shared" si="11"/>
        <v>21.569208333333332</v>
      </c>
      <c r="M27" s="82">
        <f t="shared" si="12"/>
        <v>30.196891666666662</v>
      </c>
      <c r="N27" s="82">
        <f>M27*0.1</f>
        <v>3.0196891666666663</v>
      </c>
    </row>
    <row r="28" spans="1:20" x14ac:dyDescent="0.25">
      <c r="A28" s="98" t="s">
        <v>107</v>
      </c>
      <c r="B28" s="99" t="s">
        <v>219</v>
      </c>
      <c r="C28" s="100" t="s">
        <v>203</v>
      </c>
      <c r="D28" s="100">
        <f>G9*0.1</f>
        <v>4296.6949999999997</v>
      </c>
      <c r="E28" s="100">
        <f t="shared" si="7"/>
        <v>223.26086363636361</v>
      </c>
      <c r="F28" s="100">
        <f t="shared" si="8"/>
        <v>959283.83648204524</v>
      </c>
      <c r="G28" s="102" t="e">
        <f t="shared" si="9"/>
        <v>#DIV/0!</v>
      </c>
      <c r="H28" s="82">
        <f t="shared" si="10"/>
        <v>283581.87</v>
      </c>
      <c r="I28" s="128">
        <f>33*2</f>
        <v>66</v>
      </c>
      <c r="J28" s="128">
        <f>(T18+T19+T20+T17+T24*R16*3)/R16/400</f>
        <v>29.472045454545455</v>
      </c>
      <c r="K28" s="128">
        <f>(65-33)*2</f>
        <v>64</v>
      </c>
      <c r="L28" s="82">
        <f t="shared" si="11"/>
        <v>159.47204545454545</v>
      </c>
      <c r="M28" s="82">
        <f t="shared" si="12"/>
        <v>223.26086363636361</v>
      </c>
      <c r="T28" s="82">
        <f>10*(180+35)</f>
        <v>2150</v>
      </c>
    </row>
    <row r="29" spans="1:20" hidden="1" x14ac:dyDescent="0.25">
      <c r="A29" s="98" t="s">
        <v>220</v>
      </c>
      <c r="B29" s="99" t="s">
        <v>221</v>
      </c>
      <c r="C29" s="100" t="s">
        <v>98</v>
      </c>
      <c r="D29" s="100">
        <v>0</v>
      </c>
      <c r="E29" s="100">
        <f t="shared" si="7"/>
        <v>11.459</v>
      </c>
      <c r="F29" s="100">
        <f t="shared" si="8"/>
        <v>0</v>
      </c>
      <c r="G29" s="102" t="e">
        <f t="shared" si="9"/>
        <v>#DIV/0!</v>
      </c>
      <c r="H29" s="82">
        <f t="shared" si="10"/>
        <v>0</v>
      </c>
      <c r="I29" s="128">
        <f>(4800/1000*0.5)*1</f>
        <v>2.4</v>
      </c>
      <c r="J29" s="128">
        <v>0.3</v>
      </c>
      <c r="K29" s="128">
        <f>T35/5000</f>
        <v>5.4850000000000003</v>
      </c>
      <c r="L29" s="82">
        <f t="shared" si="11"/>
        <v>8.1850000000000005</v>
      </c>
      <c r="M29" s="82">
        <f t="shared" si="12"/>
        <v>11.459</v>
      </c>
      <c r="O29" s="88" t="s">
        <v>222</v>
      </c>
      <c r="P29" s="82">
        <v>2000</v>
      </c>
      <c r="Q29" s="82">
        <v>200</v>
      </c>
      <c r="R29" s="82">
        <f t="shared" ref="R29:R34" si="13">25+10</f>
        <v>35</v>
      </c>
      <c r="S29" s="82">
        <f>7*14*6.5</f>
        <v>637</v>
      </c>
      <c r="T29" s="82">
        <f t="shared" ref="T29:T34" si="14">SUM(P29:S29)</f>
        <v>2872</v>
      </c>
    </row>
    <row r="30" spans="1:20" x14ac:dyDescent="0.25">
      <c r="A30" s="98" t="s">
        <v>223</v>
      </c>
      <c r="B30" s="99" t="s">
        <v>224</v>
      </c>
      <c r="C30" s="100" t="s">
        <v>98</v>
      </c>
      <c r="D30" s="100">
        <f>G10</f>
        <v>42966.95</v>
      </c>
      <c r="E30" s="100">
        <f t="shared" si="7"/>
        <v>4.1290454545454542</v>
      </c>
      <c r="F30" s="100">
        <f t="shared" si="8"/>
        <v>177412.48959318179</v>
      </c>
      <c r="G30" s="102" t="e">
        <f t="shared" si="9"/>
        <v>#DIV/0!</v>
      </c>
      <c r="H30" s="82">
        <f t="shared" si="10"/>
        <v>103120.68</v>
      </c>
      <c r="I30" s="128">
        <f>(4800/1000*0.5)*1</f>
        <v>2.4</v>
      </c>
      <c r="J30" s="128">
        <v>0.3</v>
      </c>
      <c r="K30" s="128">
        <f>T36/5000</f>
        <v>0.2493181818181818</v>
      </c>
      <c r="L30" s="82">
        <f t="shared" si="11"/>
        <v>2.9493181818181817</v>
      </c>
      <c r="M30" s="82">
        <f t="shared" si="12"/>
        <v>4.1290454545454542</v>
      </c>
      <c r="O30" s="88" t="s">
        <v>222</v>
      </c>
      <c r="P30" s="82">
        <v>2000</v>
      </c>
      <c r="Q30" s="82">
        <v>200</v>
      </c>
      <c r="R30" s="82">
        <f t="shared" si="13"/>
        <v>35</v>
      </c>
      <c r="S30" s="82">
        <f>7*14*6.5</f>
        <v>637</v>
      </c>
      <c r="T30" s="82">
        <f t="shared" si="14"/>
        <v>2872</v>
      </c>
    </row>
    <row r="31" spans="1:20" x14ac:dyDescent="0.25">
      <c r="A31" s="98" t="s">
        <v>225</v>
      </c>
      <c r="B31" s="99" t="s">
        <v>226</v>
      </c>
      <c r="C31" s="100" t="s">
        <v>203</v>
      </c>
      <c r="D31" s="100">
        <f>G9*0.03</f>
        <v>1289.0084999999999</v>
      </c>
      <c r="E31" s="100">
        <f t="shared" si="7"/>
        <v>1606.752</v>
      </c>
      <c r="F31" s="100">
        <f t="shared" si="8"/>
        <v>2071116.9853919998</v>
      </c>
      <c r="G31" s="102" t="e">
        <f t="shared" si="9"/>
        <v>#DIV/0!</v>
      </c>
      <c r="H31" s="82">
        <f t="shared" si="10"/>
        <v>1191662.5780799999</v>
      </c>
      <c r="I31" s="128">
        <f>(150+4800*0.049)*2.4</f>
        <v>924.48</v>
      </c>
      <c r="J31" s="128">
        <f>(12500/400)*2.4</f>
        <v>75</v>
      </c>
      <c r="K31" s="128">
        <f>65*0.95*2.4</f>
        <v>148.19999999999999</v>
      </c>
      <c r="L31" s="82">
        <f t="shared" si="11"/>
        <v>1147.68</v>
      </c>
      <c r="M31" s="82">
        <f t="shared" si="12"/>
        <v>1606.752</v>
      </c>
      <c r="N31" s="82">
        <f>M31*0.03</f>
        <v>48.202559999999998</v>
      </c>
      <c r="O31" s="88" t="s">
        <v>227</v>
      </c>
      <c r="P31" s="82">
        <v>1200</v>
      </c>
      <c r="Q31" s="82">
        <v>150</v>
      </c>
      <c r="R31" s="82">
        <f t="shared" si="13"/>
        <v>35</v>
      </c>
      <c r="S31" s="82">
        <f>7*7*6.5</f>
        <v>318.5</v>
      </c>
      <c r="T31" s="82">
        <f t="shared" si="14"/>
        <v>1703.5</v>
      </c>
    </row>
    <row r="32" spans="1:20" x14ac:dyDescent="0.25">
      <c r="A32" s="98" t="s">
        <v>228</v>
      </c>
      <c r="B32" s="99" t="s">
        <v>229</v>
      </c>
      <c r="C32" s="100" t="s">
        <v>230</v>
      </c>
      <c r="D32" s="100">
        <v>8679.58</v>
      </c>
      <c r="E32" s="100">
        <f t="shared" si="7"/>
        <v>76.386418181818172</v>
      </c>
      <c r="F32" s="100">
        <f t="shared" si="8"/>
        <v>663002.02752254531</v>
      </c>
      <c r="G32" s="102" t="e">
        <f t="shared" si="9"/>
        <v>#DIV/0!</v>
      </c>
      <c r="H32" s="82">
        <f t="shared" si="10"/>
        <v>347408.86907999997</v>
      </c>
      <c r="I32" s="128">
        <f>0.0953*420</f>
        <v>40.025999999999996</v>
      </c>
      <c r="J32" s="128">
        <v>12.5</v>
      </c>
      <c r="K32" s="128">
        <f>T18/R16/1000</f>
        <v>2.0357272727272728</v>
      </c>
      <c r="L32" s="82">
        <f t="shared" si="11"/>
        <v>54.561727272727268</v>
      </c>
      <c r="M32" s="82">
        <f t="shared" si="12"/>
        <v>76.386418181818172</v>
      </c>
      <c r="O32" s="88" t="s">
        <v>231</v>
      </c>
      <c r="P32" s="82">
        <v>1200</v>
      </c>
      <c r="Q32" s="82">
        <v>150</v>
      </c>
      <c r="R32" s="82">
        <f t="shared" si="13"/>
        <v>35</v>
      </c>
      <c r="S32" s="82">
        <f>7*8*6.5</f>
        <v>364</v>
      </c>
      <c r="T32" s="82">
        <f t="shared" si="14"/>
        <v>1749</v>
      </c>
    </row>
    <row r="33" spans="1:22" hidden="1" x14ac:dyDescent="0.25">
      <c r="A33" s="98" t="s">
        <v>232</v>
      </c>
      <c r="B33" s="99" t="s">
        <v>233</v>
      </c>
      <c r="C33" s="100" t="s">
        <v>230</v>
      </c>
      <c r="D33" s="100">
        <v>0</v>
      </c>
      <c r="E33" s="100">
        <f t="shared" si="7"/>
        <v>90.263218181818175</v>
      </c>
      <c r="F33" s="100">
        <f t="shared" si="8"/>
        <v>0</v>
      </c>
      <c r="G33" s="102" t="e">
        <f t="shared" si="9"/>
        <v>#DIV/0!</v>
      </c>
      <c r="H33" s="82">
        <f t="shared" si="10"/>
        <v>0</v>
      </c>
      <c r="I33" s="128">
        <f>0.1189*420</f>
        <v>49.938000000000002</v>
      </c>
      <c r="J33" s="128">
        <v>12.5</v>
      </c>
      <c r="K33" s="128">
        <f>T18/R16/1000</f>
        <v>2.0357272727272728</v>
      </c>
      <c r="L33" s="82">
        <f t="shared" si="11"/>
        <v>64.473727272727274</v>
      </c>
      <c r="M33" s="82">
        <f t="shared" si="12"/>
        <v>90.263218181818175</v>
      </c>
      <c r="O33" s="88" t="s">
        <v>231</v>
      </c>
      <c r="P33" s="82">
        <v>1200</v>
      </c>
      <c r="Q33" s="82">
        <v>150</v>
      </c>
      <c r="R33" s="82">
        <f t="shared" si="13"/>
        <v>35</v>
      </c>
      <c r="S33" s="82">
        <f>7*8*6.5</f>
        <v>364</v>
      </c>
      <c r="T33" s="82">
        <f t="shared" si="14"/>
        <v>1749</v>
      </c>
    </row>
    <row r="34" spans="1:22" x14ac:dyDescent="0.25">
      <c r="A34" s="98"/>
      <c r="B34" s="99" t="s">
        <v>215</v>
      </c>
      <c r="C34" s="100"/>
      <c r="D34" s="100"/>
      <c r="E34" s="100"/>
      <c r="F34" s="100">
        <f>SUM(F26:F33)</f>
        <v>4195182.4225890432</v>
      </c>
      <c r="I34" s="128"/>
      <c r="J34" s="128"/>
      <c r="K34" s="128"/>
      <c r="O34" s="88" t="s">
        <v>234</v>
      </c>
      <c r="P34" s="82">
        <v>2000</v>
      </c>
      <c r="Q34" s="82">
        <v>150</v>
      </c>
      <c r="R34" s="82">
        <f t="shared" si="13"/>
        <v>35</v>
      </c>
      <c r="S34" s="82">
        <f>7*10*6.5</f>
        <v>455</v>
      </c>
      <c r="T34" s="82">
        <f t="shared" si="14"/>
        <v>2640</v>
      </c>
    </row>
    <row r="35" spans="1:22" x14ac:dyDescent="0.25">
      <c r="A35" s="98"/>
      <c r="B35" s="99"/>
      <c r="C35" s="100"/>
      <c r="D35" s="100"/>
      <c r="E35" s="100"/>
      <c r="F35" s="100"/>
      <c r="I35" s="128"/>
      <c r="J35" s="128"/>
      <c r="K35" s="128"/>
      <c r="O35" s="88" t="s">
        <v>235</v>
      </c>
      <c r="P35" s="82">
        <f>24000+3000</f>
        <v>27000</v>
      </c>
      <c r="Q35" s="82">
        <f>Q24</f>
        <v>390</v>
      </c>
      <c r="R35" s="82">
        <f>R24</f>
        <v>35</v>
      </c>
      <c r="S35" s="82">
        <v>1</v>
      </c>
      <c r="T35" s="82">
        <f>SUM(P35:R35)*S35</f>
        <v>27425</v>
      </c>
    </row>
    <row r="36" spans="1:22" x14ac:dyDescent="0.25">
      <c r="A36" s="98">
        <v>3</v>
      </c>
      <c r="B36" s="99" t="s">
        <v>236</v>
      </c>
      <c r="C36" s="100"/>
      <c r="D36" s="100"/>
      <c r="E36" s="100"/>
      <c r="F36" s="100"/>
      <c r="I36" s="128"/>
      <c r="J36" s="128"/>
      <c r="K36" s="128"/>
      <c r="O36" s="88"/>
      <c r="T36" s="82">
        <f>T35/R16</f>
        <v>1246.590909090909</v>
      </c>
    </row>
    <row r="37" spans="1:22" x14ac:dyDescent="0.25">
      <c r="A37" s="98" t="s">
        <v>34</v>
      </c>
      <c r="B37" s="99" t="s">
        <v>237</v>
      </c>
      <c r="C37" s="100" t="s">
        <v>230</v>
      </c>
      <c r="D37" s="101">
        <v>368</v>
      </c>
      <c r="E37" s="100">
        <f t="shared" ref="E37:E45" si="15">M37</f>
        <v>215.34545454545452</v>
      </c>
      <c r="F37" s="100">
        <f t="shared" ref="F37:F45" si="16">E37*D37</f>
        <v>79247.127272727259</v>
      </c>
      <c r="G37" s="102" t="e">
        <f t="shared" ref="G37:G45" si="17">F37/$F$119</f>
        <v>#DIV/0!</v>
      </c>
      <c r="H37" s="82">
        <f t="shared" ref="H37:H45" si="18">I37*D37</f>
        <v>33120</v>
      </c>
      <c r="I37" s="128">
        <v>90</v>
      </c>
      <c r="J37" s="128">
        <f>T41/60</f>
        <v>29.889393939393937</v>
      </c>
      <c r="K37" s="128">
        <f>$T$17/$R$16/60</f>
        <v>33.92878787878788</v>
      </c>
      <c r="L37" s="82">
        <f>SUM(I37:K37)</f>
        <v>153.81818181818181</v>
      </c>
      <c r="M37" s="82">
        <f t="shared" ref="M37:M45" si="19">L37*$J$11</f>
        <v>215.34545454545452</v>
      </c>
      <c r="N37" s="83"/>
      <c r="O37" s="88" t="s">
        <v>238</v>
      </c>
      <c r="P37" s="82">
        <v>7000</v>
      </c>
      <c r="Q37" s="82">
        <f>P37*1.7</f>
        <v>11900</v>
      </c>
      <c r="R37" s="82">
        <f>25+10</f>
        <v>35</v>
      </c>
      <c r="S37" s="82">
        <v>1</v>
      </c>
      <c r="T37" s="82">
        <f>(Q37+(R37*$Q$16))*S37</f>
        <v>12670</v>
      </c>
    </row>
    <row r="38" spans="1:22" x14ac:dyDescent="0.25">
      <c r="A38" s="98" t="s">
        <v>239</v>
      </c>
      <c r="B38" s="99" t="s">
        <v>240</v>
      </c>
      <c r="C38" s="100" t="s">
        <v>230</v>
      </c>
      <c r="D38" s="101">
        <v>1355</v>
      </c>
      <c r="E38" s="100">
        <f t="shared" si="15"/>
        <v>308.81454545454545</v>
      </c>
      <c r="F38" s="100">
        <f t="shared" si="16"/>
        <v>418443.70909090911</v>
      </c>
      <c r="G38" s="102" t="e">
        <f t="shared" si="17"/>
        <v>#DIV/0!</v>
      </c>
      <c r="H38" s="82">
        <f t="shared" si="18"/>
        <v>195120</v>
      </c>
      <c r="I38" s="128">
        <v>144</v>
      </c>
      <c r="J38" s="128">
        <f>T41/50</f>
        <v>35.867272727272727</v>
      </c>
      <c r="K38" s="128">
        <f>$T$17/$R$16/50</f>
        <v>40.714545454545458</v>
      </c>
      <c r="L38" s="82">
        <f>SUM(I38:K38)</f>
        <v>220.58181818181819</v>
      </c>
      <c r="M38" s="82">
        <f t="shared" si="19"/>
        <v>308.81454545454545</v>
      </c>
      <c r="O38" s="88" t="s">
        <v>241</v>
      </c>
      <c r="P38" s="82">
        <v>3500</v>
      </c>
      <c r="Q38" s="82">
        <f>P38*1.7</f>
        <v>5950</v>
      </c>
      <c r="R38" s="82">
        <f>25+10</f>
        <v>35</v>
      </c>
      <c r="S38" s="82">
        <v>2</v>
      </c>
      <c r="T38" s="82">
        <f>(Q38+(R38*$Q$16))*S38</f>
        <v>13440</v>
      </c>
    </row>
    <row r="39" spans="1:22" x14ac:dyDescent="0.25">
      <c r="A39" s="98" t="s">
        <v>242</v>
      </c>
      <c r="B39" s="99" t="s">
        <v>243</v>
      </c>
      <c r="C39" s="100" t="s">
        <v>230</v>
      </c>
      <c r="D39" s="101">
        <v>183</v>
      </c>
      <c r="E39" s="100">
        <f t="shared" si="15"/>
        <v>551.21818181818173</v>
      </c>
      <c r="F39" s="100">
        <f t="shared" si="16"/>
        <v>100872.92727272726</v>
      </c>
      <c r="G39" s="102" t="e">
        <f t="shared" si="17"/>
        <v>#DIV/0!</v>
      </c>
      <c r="H39" s="82">
        <f t="shared" si="18"/>
        <v>54534</v>
      </c>
      <c r="I39" s="128">
        <v>298</v>
      </c>
      <c r="J39" s="128">
        <f>T41/40</f>
        <v>44.834090909090904</v>
      </c>
      <c r="K39" s="128">
        <f>$T$17/$R$16/40</f>
        <v>50.893181818181816</v>
      </c>
      <c r="L39" s="82">
        <f t="shared" ref="L39:L99" si="20">SUM(I39:K39)</f>
        <v>393.72727272727269</v>
      </c>
      <c r="M39" s="82">
        <f t="shared" si="19"/>
        <v>551.21818181818173</v>
      </c>
      <c r="O39" s="88" t="s">
        <v>244</v>
      </c>
      <c r="P39" s="82">
        <v>2400</v>
      </c>
      <c r="Q39" s="82">
        <f>P39*1.7</f>
        <v>4080</v>
      </c>
      <c r="R39" s="82">
        <f>25+10</f>
        <v>35</v>
      </c>
      <c r="S39" s="82">
        <v>2</v>
      </c>
      <c r="T39" s="82">
        <f>(Q39+(R39*$Q$16))*S39</f>
        <v>9700</v>
      </c>
    </row>
    <row r="40" spans="1:22" x14ac:dyDescent="0.25">
      <c r="A40" s="98" t="s">
        <v>245</v>
      </c>
      <c r="B40" s="99" t="s">
        <v>246</v>
      </c>
      <c r="C40" s="100" t="s">
        <v>230</v>
      </c>
      <c r="D40" s="101">
        <v>184</v>
      </c>
      <c r="E40" s="100">
        <f t="shared" si="15"/>
        <v>843.69090909090903</v>
      </c>
      <c r="F40" s="100">
        <f t="shared" si="16"/>
        <v>155239.12727272726</v>
      </c>
      <c r="G40" s="102" t="e">
        <f t="shared" si="17"/>
        <v>#DIV/0!</v>
      </c>
      <c r="H40" s="82">
        <f t="shared" si="18"/>
        <v>87400</v>
      </c>
      <c r="I40" s="128">
        <v>475</v>
      </c>
      <c r="J40" s="128">
        <f>T41/30</f>
        <v>59.778787878787874</v>
      </c>
      <c r="K40" s="128">
        <f>$T$17/$R$16/30</f>
        <v>67.857575757575759</v>
      </c>
      <c r="L40" s="82">
        <f t="shared" si="20"/>
        <v>602.63636363636363</v>
      </c>
      <c r="M40" s="82">
        <f t="shared" si="19"/>
        <v>843.69090909090903</v>
      </c>
      <c r="O40" s="88" t="s">
        <v>247</v>
      </c>
      <c r="P40" s="82">
        <v>2500</v>
      </c>
      <c r="R40" s="82">
        <f>80/10*6.5</f>
        <v>52</v>
      </c>
      <c r="S40" s="82">
        <v>1</v>
      </c>
      <c r="T40" s="82">
        <f>(P40+(R40*$Q$16))*S40</f>
        <v>3644</v>
      </c>
    </row>
    <row r="41" spans="1:22" x14ac:dyDescent="0.25">
      <c r="A41" s="98" t="s">
        <v>248</v>
      </c>
      <c r="B41" s="99" t="s">
        <v>249</v>
      </c>
      <c r="C41" s="100" t="s">
        <v>250</v>
      </c>
      <c r="D41" s="101">
        <v>53</v>
      </c>
      <c r="E41" s="100">
        <f t="shared" si="15"/>
        <v>4163.8989199668749</v>
      </c>
      <c r="F41" s="100">
        <f t="shared" si="16"/>
        <v>220686.64275824436</v>
      </c>
      <c r="G41" s="102" t="e">
        <f t="shared" si="17"/>
        <v>#DIV/0!</v>
      </c>
      <c r="H41" s="82">
        <f t="shared" si="18"/>
        <v>118833.99291497977</v>
      </c>
      <c r="I41" s="128">
        <f>(P43+P45+P46+P47+P48+P49)</f>
        <v>2242.1508097165993</v>
      </c>
      <c r="J41" s="128">
        <f>P50</f>
        <v>700</v>
      </c>
      <c r="K41" s="128">
        <f>P42</f>
        <v>32.062704545454544</v>
      </c>
      <c r="L41" s="82">
        <f t="shared" si="20"/>
        <v>2974.2135142620536</v>
      </c>
      <c r="M41" s="82">
        <f t="shared" si="19"/>
        <v>4163.8989199668749</v>
      </c>
      <c r="O41" s="88"/>
      <c r="T41" s="82">
        <f>SUM(T37:T40)/R16</f>
        <v>1793.3636363636363</v>
      </c>
    </row>
    <row r="42" spans="1:22" x14ac:dyDescent="0.25">
      <c r="A42" s="98" t="s">
        <v>251</v>
      </c>
      <c r="B42" s="99" t="s">
        <v>252</v>
      </c>
      <c r="C42" s="100" t="s">
        <v>250</v>
      </c>
      <c r="D42" s="101">
        <v>10</v>
      </c>
      <c r="E42" s="100">
        <f t="shared" si="15"/>
        <v>2417.3344052754264</v>
      </c>
      <c r="F42" s="100">
        <f t="shared" si="16"/>
        <v>24173.344052754263</v>
      </c>
      <c r="G42" s="102" t="e">
        <f t="shared" si="17"/>
        <v>#DIV/0!</v>
      </c>
      <c r="H42" s="82">
        <f t="shared" si="18"/>
        <v>12124.173414304994</v>
      </c>
      <c r="I42" s="128">
        <f>(S45+S46+S47+S48+S49)</f>
        <v>1212.4173414304994</v>
      </c>
      <c r="J42" s="128">
        <f>S50</f>
        <v>500</v>
      </c>
      <c r="K42" s="128">
        <f>S43</f>
        <v>14.250090909090908</v>
      </c>
      <c r="L42" s="82">
        <f t="shared" si="20"/>
        <v>1726.6674323395903</v>
      </c>
      <c r="M42" s="82">
        <f t="shared" si="19"/>
        <v>2417.3344052754264</v>
      </c>
      <c r="O42" s="88" t="s">
        <v>253</v>
      </c>
      <c r="P42" s="82">
        <f>1.5*1.5*1.5*(E19*2)</f>
        <v>32.062704545454544</v>
      </c>
    </row>
    <row r="43" spans="1:22" x14ac:dyDescent="0.25">
      <c r="A43" s="98" t="s">
        <v>254</v>
      </c>
      <c r="B43" s="99" t="s">
        <v>255</v>
      </c>
      <c r="C43" s="100" t="s">
        <v>250</v>
      </c>
      <c r="D43" s="101">
        <v>55</v>
      </c>
      <c r="E43" s="100">
        <f t="shared" si="15"/>
        <v>4422.4150993497724</v>
      </c>
      <c r="F43" s="100">
        <f t="shared" si="16"/>
        <v>243232.83046423749</v>
      </c>
      <c r="G43" s="102" t="e">
        <f t="shared" si="17"/>
        <v>#DIV/0!</v>
      </c>
      <c r="H43" s="82">
        <f t="shared" si="18"/>
        <v>128170.22604588394</v>
      </c>
      <c r="I43" s="128">
        <f>(V45+V46+V47+V48+V49)</f>
        <v>2330.367746288799</v>
      </c>
      <c r="J43" s="128">
        <f>V50</f>
        <v>800</v>
      </c>
      <c r="K43" s="128">
        <f>V43</f>
        <v>28.500181818181815</v>
      </c>
      <c r="L43" s="82">
        <f t="shared" si="20"/>
        <v>3158.8679281069808</v>
      </c>
      <c r="M43" s="82">
        <f t="shared" si="19"/>
        <v>4422.4150993497724</v>
      </c>
      <c r="O43" s="88" t="s">
        <v>256</v>
      </c>
      <c r="P43" s="82">
        <f>1.5*1.5*0.1*460+40*8</f>
        <v>423.5</v>
      </c>
      <c r="R43" s="88" t="s">
        <v>253</v>
      </c>
      <c r="S43" s="82">
        <f>1.5*1*1*E19*2</f>
        <v>14.250090909090908</v>
      </c>
      <c r="U43" s="88" t="s">
        <v>253</v>
      </c>
      <c r="V43" s="82">
        <f>S43*2</f>
        <v>28.500181818181815</v>
      </c>
    </row>
    <row r="44" spans="1:22" x14ac:dyDescent="0.25">
      <c r="A44" s="98" t="s">
        <v>257</v>
      </c>
      <c r="B44" s="99" t="s">
        <v>258</v>
      </c>
      <c r="C44" s="100" t="s">
        <v>250</v>
      </c>
      <c r="D44" s="101">
        <v>2</v>
      </c>
      <c r="E44" s="100">
        <f t="shared" si="15"/>
        <v>8844.8301986995448</v>
      </c>
      <c r="F44" s="100">
        <f t="shared" si="16"/>
        <v>17689.66039739909</v>
      </c>
      <c r="G44" s="102" t="e">
        <f t="shared" si="17"/>
        <v>#DIV/0!</v>
      </c>
      <c r="H44" s="82">
        <f t="shared" si="18"/>
        <v>9321.4709851551961</v>
      </c>
      <c r="I44" s="128">
        <f>I43*2</f>
        <v>4660.7354925775981</v>
      </c>
      <c r="J44" s="128">
        <f>J43*2</f>
        <v>1600</v>
      </c>
      <c r="K44" s="128">
        <f>K43*2</f>
        <v>57.00036363636363</v>
      </c>
      <c r="L44" s="82">
        <f t="shared" si="20"/>
        <v>6317.7358562139616</v>
      </c>
      <c r="M44" s="82">
        <f t="shared" si="19"/>
        <v>8844.8301986995448</v>
      </c>
      <c r="O44" s="88" t="s">
        <v>256</v>
      </c>
      <c r="P44" s="82">
        <f>1.5*1.5*0.1*460+40*8</f>
        <v>423.5</v>
      </c>
      <c r="R44" s="88" t="s">
        <v>253</v>
      </c>
      <c r="S44" s="82">
        <f>1.5*1*1*E20*2</f>
        <v>16.38</v>
      </c>
      <c r="U44" s="88" t="s">
        <v>253</v>
      </c>
      <c r="V44" s="82">
        <f>S44*2</f>
        <v>32.76</v>
      </c>
    </row>
    <row r="45" spans="1:22" x14ac:dyDescent="0.25">
      <c r="A45" s="98" t="s">
        <v>259</v>
      </c>
      <c r="B45" s="99" t="s">
        <v>260</v>
      </c>
      <c r="C45" s="100" t="s">
        <v>250</v>
      </c>
      <c r="D45" s="101">
        <v>142</v>
      </c>
      <c r="E45" s="100">
        <f t="shared" si="15"/>
        <v>1092</v>
      </c>
      <c r="F45" s="100">
        <f t="shared" si="16"/>
        <v>155064</v>
      </c>
      <c r="G45" s="102" t="e">
        <f t="shared" si="17"/>
        <v>#DIV/0!</v>
      </c>
      <c r="H45" s="82">
        <f t="shared" si="18"/>
        <v>35500</v>
      </c>
      <c r="I45" s="128">
        <v>250</v>
      </c>
      <c r="J45" s="128">
        <v>480</v>
      </c>
      <c r="K45" s="128">
        <v>50</v>
      </c>
      <c r="L45" s="82">
        <f t="shared" si="20"/>
        <v>780</v>
      </c>
      <c r="M45" s="82">
        <f t="shared" si="19"/>
        <v>1092</v>
      </c>
      <c r="O45" s="88" t="s">
        <v>261</v>
      </c>
      <c r="P45" s="82">
        <f>(1.5*4*1)/(0.19*0.39)*3.5</f>
        <v>283.40080971659921</v>
      </c>
      <c r="R45" s="88" t="s">
        <v>256</v>
      </c>
      <c r="S45" s="82">
        <f>1.5*1*0.1*460+40*8</f>
        <v>389</v>
      </c>
      <c r="U45" s="88" t="s">
        <v>256</v>
      </c>
      <c r="V45" s="82">
        <f>S45*2</f>
        <v>778</v>
      </c>
    </row>
    <row r="46" spans="1:22" x14ac:dyDescent="0.25">
      <c r="A46" s="98"/>
      <c r="B46" s="99" t="s">
        <v>215</v>
      </c>
      <c r="C46" s="100"/>
      <c r="D46" s="103"/>
      <c r="E46" s="100"/>
      <c r="F46" s="100">
        <f>SUM(F37:F45)</f>
        <v>1414649.368581726</v>
      </c>
      <c r="I46" s="128"/>
      <c r="J46" s="128"/>
      <c r="K46" s="128"/>
      <c r="O46" s="88" t="s">
        <v>262</v>
      </c>
      <c r="P46" s="82">
        <f>(1.5*4*1)*12</f>
        <v>72</v>
      </c>
      <c r="R46" s="88" t="s">
        <v>261</v>
      </c>
      <c r="S46" s="82">
        <f>(1.5*2*1+1*2*1)/(0.19*0.39)*3.5</f>
        <v>236.16734143049933</v>
      </c>
      <c r="U46" s="88" t="s">
        <v>261</v>
      </c>
      <c r="V46" s="82">
        <f>(3*2*1+1*2*1)/(0.19*0.39)*3.5</f>
        <v>377.86774628879891</v>
      </c>
    </row>
    <row r="47" spans="1:22" x14ac:dyDescent="0.25">
      <c r="A47" s="98"/>
      <c r="B47" s="99"/>
      <c r="C47" s="100"/>
      <c r="D47" s="100"/>
      <c r="E47" s="100"/>
      <c r="F47" s="100"/>
      <c r="I47" s="128"/>
      <c r="J47" s="129"/>
      <c r="K47" s="128"/>
      <c r="O47" s="88" t="s">
        <v>263</v>
      </c>
      <c r="P47" s="82">
        <f>1.5*1.5*0.1*460*1.5+40*8</f>
        <v>475.25</v>
      </c>
      <c r="R47" s="88" t="s">
        <v>262</v>
      </c>
      <c r="S47" s="82">
        <f>(1.5*4*1)*12</f>
        <v>72</v>
      </c>
      <c r="U47" s="88" t="s">
        <v>262</v>
      </c>
      <c r="V47" s="82">
        <f>(3*4*1)*12</f>
        <v>144</v>
      </c>
    </row>
    <row r="48" spans="1:22" x14ac:dyDescent="0.25">
      <c r="A48" s="98">
        <v>4</v>
      </c>
      <c r="B48" s="99" t="s">
        <v>264</v>
      </c>
      <c r="C48" s="100"/>
      <c r="D48" s="100"/>
      <c r="E48" s="100"/>
      <c r="F48" s="100"/>
      <c r="I48" s="128"/>
      <c r="J48" s="128"/>
      <c r="K48" s="128"/>
      <c r="O48" s="88" t="s">
        <v>265</v>
      </c>
      <c r="P48" s="82">
        <v>300</v>
      </c>
      <c r="R48" s="88" t="s">
        <v>263</v>
      </c>
      <c r="S48" s="82">
        <f>1.5*1.5*0.1*460*1.5+40*8</f>
        <v>475.25</v>
      </c>
      <c r="U48" s="88" t="s">
        <v>263</v>
      </c>
      <c r="V48" s="82">
        <f>S48*2</f>
        <v>950.5</v>
      </c>
    </row>
    <row r="49" spans="1:22" x14ac:dyDescent="0.25">
      <c r="A49" s="98" t="s">
        <v>46</v>
      </c>
      <c r="B49" s="104" t="s">
        <v>266</v>
      </c>
      <c r="C49" s="105" t="s">
        <v>250</v>
      </c>
      <c r="D49" s="105">
        <v>1</v>
      </c>
      <c r="E49" s="105">
        <f t="shared" ref="E49:E91" si="21">M49</f>
        <v>8411.1999999999989</v>
      </c>
      <c r="F49" s="105">
        <f t="shared" ref="F49:F91" si="22">E49*D49</f>
        <v>8411.1999999999989</v>
      </c>
      <c r="G49" s="102" t="e">
        <f t="shared" ref="G49:G91" si="23">F49/$F$119</f>
        <v>#DIV/0!</v>
      </c>
      <c r="H49" s="82">
        <v>6800</v>
      </c>
      <c r="I49" s="128">
        <v>5198</v>
      </c>
      <c r="J49" s="128">
        <v>800</v>
      </c>
      <c r="K49" s="128">
        <v>10</v>
      </c>
      <c r="L49" s="82">
        <f t="shared" si="20"/>
        <v>6008</v>
      </c>
      <c r="M49" s="82">
        <f t="shared" ref="M49:M91" si="24">L49*$J$11</f>
        <v>8411.1999999999989</v>
      </c>
      <c r="O49" s="88" t="s">
        <v>263</v>
      </c>
      <c r="P49" s="82">
        <v>688</v>
      </c>
      <c r="R49" s="88" t="s">
        <v>267</v>
      </c>
      <c r="S49" s="82">
        <v>40</v>
      </c>
      <c r="U49" s="88" t="s">
        <v>267</v>
      </c>
      <c r="V49" s="82">
        <f>S49*2</f>
        <v>80</v>
      </c>
    </row>
    <row r="50" spans="1:22" ht="38.25" x14ac:dyDescent="0.25">
      <c r="A50" s="98" t="s">
        <v>89</v>
      </c>
      <c r="B50" s="104" t="s">
        <v>268</v>
      </c>
      <c r="C50" s="105" t="s">
        <v>250</v>
      </c>
      <c r="D50" s="105">
        <v>2</v>
      </c>
      <c r="E50" s="105">
        <f t="shared" si="21"/>
        <v>2194.038</v>
      </c>
      <c r="F50" s="105">
        <f t="shared" si="22"/>
        <v>4388.076</v>
      </c>
      <c r="G50" s="102" t="e">
        <f t="shared" si="23"/>
        <v>#DIV/0!</v>
      </c>
      <c r="H50" s="82">
        <f t="shared" ref="H50:H91" si="25">I50*D50</f>
        <v>3094.34</v>
      </c>
      <c r="I50" s="128">
        <v>1547.17</v>
      </c>
      <c r="J50" s="128">
        <v>10</v>
      </c>
      <c r="K50" s="128">
        <f>K49</f>
        <v>10</v>
      </c>
      <c r="L50" s="82">
        <f t="shared" si="20"/>
        <v>1567.17</v>
      </c>
      <c r="M50" s="82">
        <f t="shared" si="24"/>
        <v>2194.038</v>
      </c>
      <c r="O50" s="88" t="s">
        <v>195</v>
      </c>
      <c r="P50" s="82">
        <v>700</v>
      </c>
      <c r="R50" s="88" t="s">
        <v>195</v>
      </c>
      <c r="S50" s="82">
        <v>500</v>
      </c>
      <c r="U50" s="88" t="s">
        <v>195</v>
      </c>
      <c r="V50" s="82">
        <v>800</v>
      </c>
    </row>
    <row r="51" spans="1:22" ht="38.25" x14ac:dyDescent="0.25">
      <c r="A51" s="98" t="s">
        <v>269</v>
      </c>
      <c r="B51" s="104" t="s">
        <v>270</v>
      </c>
      <c r="C51" s="105" t="s">
        <v>250</v>
      </c>
      <c r="D51" s="105">
        <v>3</v>
      </c>
      <c r="E51" s="105">
        <f t="shared" si="21"/>
        <v>1268.1759999999999</v>
      </c>
      <c r="F51" s="105">
        <f t="shared" si="22"/>
        <v>3804.5279999999998</v>
      </c>
      <c r="G51" s="102" t="e">
        <f t="shared" si="23"/>
        <v>#DIV/0!</v>
      </c>
      <c r="H51" s="82">
        <f t="shared" si="25"/>
        <v>2657.52</v>
      </c>
      <c r="I51" s="128">
        <v>885.84</v>
      </c>
      <c r="J51" s="128">
        <v>10</v>
      </c>
      <c r="K51" s="128">
        <f t="shared" ref="K51:K85" si="26">K50</f>
        <v>10</v>
      </c>
      <c r="L51" s="82">
        <f t="shared" si="20"/>
        <v>905.84</v>
      </c>
      <c r="M51" s="82">
        <f t="shared" si="24"/>
        <v>1268.1759999999999</v>
      </c>
      <c r="O51" s="88"/>
      <c r="P51" s="82">
        <f>SUM(P42:P50)</f>
        <v>3397.7135142620536</v>
      </c>
    </row>
    <row r="52" spans="1:22" ht="38.25" x14ac:dyDescent="0.25">
      <c r="A52" s="98" t="s">
        <v>271</v>
      </c>
      <c r="B52" s="104" t="s">
        <v>272</v>
      </c>
      <c r="C52" s="105" t="s">
        <v>250</v>
      </c>
      <c r="D52" s="105">
        <v>6</v>
      </c>
      <c r="E52" s="105">
        <f t="shared" si="21"/>
        <v>957.2639999999999</v>
      </c>
      <c r="F52" s="105">
        <f t="shared" si="22"/>
        <v>5743.5839999999989</v>
      </c>
      <c r="G52" s="102" t="e">
        <f t="shared" si="23"/>
        <v>#DIV/0!</v>
      </c>
      <c r="H52" s="82">
        <f t="shared" si="25"/>
        <v>3982.56</v>
      </c>
      <c r="I52" s="128">
        <v>663.76</v>
      </c>
      <c r="J52" s="128">
        <v>10</v>
      </c>
      <c r="K52" s="128">
        <f t="shared" si="26"/>
        <v>10</v>
      </c>
      <c r="L52" s="82">
        <f t="shared" si="20"/>
        <v>683.76</v>
      </c>
      <c r="M52" s="82">
        <f t="shared" si="24"/>
        <v>957.2639999999999</v>
      </c>
      <c r="O52" s="88"/>
      <c r="R52" s="88"/>
      <c r="S52" s="82">
        <f>SUM(S43:S50)</f>
        <v>1743.0474323395902</v>
      </c>
    </row>
    <row r="53" spans="1:22" ht="38.25" x14ac:dyDescent="0.25">
      <c r="A53" s="98" t="s">
        <v>273</v>
      </c>
      <c r="B53" s="104" t="s">
        <v>274</v>
      </c>
      <c r="C53" s="105" t="s">
        <v>250</v>
      </c>
      <c r="D53" s="105">
        <v>66</v>
      </c>
      <c r="E53" s="105">
        <f t="shared" si="21"/>
        <v>854.78399999999988</v>
      </c>
      <c r="F53" s="105">
        <f t="shared" si="22"/>
        <v>56415.743999999992</v>
      </c>
      <c r="G53" s="102" t="e">
        <f t="shared" si="23"/>
        <v>#DIV/0!</v>
      </c>
      <c r="H53" s="82">
        <f t="shared" si="25"/>
        <v>38976.959999999999</v>
      </c>
      <c r="I53" s="128">
        <v>590.55999999999995</v>
      </c>
      <c r="J53" s="128">
        <v>10</v>
      </c>
      <c r="K53" s="128">
        <f t="shared" si="26"/>
        <v>10</v>
      </c>
      <c r="L53" s="82">
        <f t="shared" si="20"/>
        <v>610.55999999999995</v>
      </c>
      <c r="M53" s="82">
        <f t="shared" si="24"/>
        <v>854.78399999999988</v>
      </c>
    </row>
    <row r="54" spans="1:22" x14ac:dyDescent="0.25">
      <c r="A54" s="98" t="s">
        <v>275</v>
      </c>
      <c r="B54" s="99" t="s">
        <v>276</v>
      </c>
      <c r="C54" s="100" t="s">
        <v>250</v>
      </c>
      <c r="D54" s="100">
        <v>1</v>
      </c>
      <c r="E54" s="100">
        <f t="shared" si="21"/>
        <v>403.38199999999995</v>
      </c>
      <c r="F54" s="100">
        <f t="shared" si="22"/>
        <v>403.38199999999995</v>
      </c>
      <c r="G54" s="102" t="e">
        <f t="shared" si="23"/>
        <v>#DIV/0!</v>
      </c>
      <c r="H54" s="82">
        <f t="shared" si="25"/>
        <v>268.13</v>
      </c>
      <c r="I54" s="128">
        <v>268.13</v>
      </c>
      <c r="J54" s="128">
        <v>10</v>
      </c>
      <c r="K54" s="128">
        <f t="shared" si="26"/>
        <v>10</v>
      </c>
      <c r="L54" s="82">
        <f t="shared" si="20"/>
        <v>288.13</v>
      </c>
      <c r="M54" s="82">
        <f t="shared" si="24"/>
        <v>403.38199999999995</v>
      </c>
    </row>
    <row r="55" spans="1:22" x14ac:dyDescent="0.25">
      <c r="A55" s="98" t="s">
        <v>277</v>
      </c>
      <c r="B55" s="99" t="s">
        <v>278</v>
      </c>
      <c r="C55" s="100" t="s">
        <v>250</v>
      </c>
      <c r="D55" s="100">
        <v>1</v>
      </c>
      <c r="E55" s="100">
        <f t="shared" si="21"/>
        <v>663.99199999999996</v>
      </c>
      <c r="F55" s="100">
        <f t="shared" si="22"/>
        <v>663.99199999999996</v>
      </c>
      <c r="G55" s="102" t="e">
        <f t="shared" si="23"/>
        <v>#DIV/0!</v>
      </c>
      <c r="H55" s="82">
        <f t="shared" si="25"/>
        <v>454.28</v>
      </c>
      <c r="I55" s="128">
        <v>454.28</v>
      </c>
      <c r="J55" s="128">
        <v>10</v>
      </c>
      <c r="K55" s="128">
        <f t="shared" si="26"/>
        <v>10</v>
      </c>
      <c r="L55" s="82">
        <f t="shared" si="20"/>
        <v>474.28</v>
      </c>
      <c r="M55" s="82">
        <f t="shared" si="24"/>
        <v>663.99199999999996</v>
      </c>
    </row>
    <row r="56" spans="1:22" x14ac:dyDescent="0.25">
      <c r="A56" s="98" t="s">
        <v>279</v>
      </c>
      <c r="B56" s="99" t="s">
        <v>280</v>
      </c>
      <c r="C56" s="100" t="s">
        <v>250</v>
      </c>
      <c r="D56" s="100">
        <v>4</v>
      </c>
      <c r="E56" s="100">
        <f t="shared" si="21"/>
        <v>115.63999999999999</v>
      </c>
      <c r="F56" s="100">
        <f t="shared" si="22"/>
        <v>462.55999999999995</v>
      </c>
      <c r="G56" s="102" t="e">
        <f t="shared" si="23"/>
        <v>#DIV/0!</v>
      </c>
      <c r="H56" s="82">
        <f t="shared" si="25"/>
        <v>250.4</v>
      </c>
      <c r="I56" s="128">
        <v>62.6</v>
      </c>
      <c r="J56" s="128">
        <v>10</v>
      </c>
      <c r="K56" s="128">
        <f t="shared" si="26"/>
        <v>10</v>
      </c>
      <c r="L56" s="82">
        <f t="shared" si="20"/>
        <v>82.6</v>
      </c>
      <c r="M56" s="82">
        <f t="shared" si="24"/>
        <v>115.63999999999999</v>
      </c>
    </row>
    <row r="57" spans="1:22" x14ac:dyDescent="0.25">
      <c r="A57" s="98" t="s">
        <v>281</v>
      </c>
      <c r="B57" s="99" t="s">
        <v>282</v>
      </c>
      <c r="C57" s="100" t="s">
        <v>250</v>
      </c>
      <c r="D57" s="100">
        <v>1</v>
      </c>
      <c r="E57" s="100">
        <f t="shared" si="21"/>
        <v>1508.6259999999997</v>
      </c>
      <c r="F57" s="100">
        <f t="shared" si="22"/>
        <v>1508.6259999999997</v>
      </c>
      <c r="G57" s="102" t="e">
        <f t="shared" si="23"/>
        <v>#DIV/0!</v>
      </c>
      <c r="H57" s="82">
        <f t="shared" si="25"/>
        <v>1057.5899999999999</v>
      </c>
      <c r="I57" s="128">
        <v>1057.5899999999999</v>
      </c>
      <c r="J57" s="128">
        <v>10</v>
      </c>
      <c r="K57" s="128">
        <f t="shared" si="26"/>
        <v>10</v>
      </c>
      <c r="L57" s="82">
        <f t="shared" si="20"/>
        <v>1077.5899999999999</v>
      </c>
      <c r="M57" s="82">
        <f t="shared" si="24"/>
        <v>1508.6259999999997</v>
      </c>
    </row>
    <row r="58" spans="1:22" x14ac:dyDescent="0.25">
      <c r="A58" s="98" t="s">
        <v>283</v>
      </c>
      <c r="B58" s="99" t="s">
        <v>284</v>
      </c>
      <c r="C58" s="100" t="s">
        <v>250</v>
      </c>
      <c r="D58" s="100">
        <v>1</v>
      </c>
      <c r="E58" s="100">
        <f t="shared" si="21"/>
        <v>403.38199999999995</v>
      </c>
      <c r="F58" s="100">
        <f t="shared" si="22"/>
        <v>403.38199999999995</v>
      </c>
      <c r="G58" s="102" t="e">
        <f t="shared" si="23"/>
        <v>#DIV/0!</v>
      </c>
      <c r="H58" s="82">
        <f t="shared" si="25"/>
        <v>268.13</v>
      </c>
      <c r="I58" s="128">
        <v>268.13</v>
      </c>
      <c r="J58" s="128">
        <v>10</v>
      </c>
      <c r="K58" s="128">
        <f t="shared" si="26"/>
        <v>10</v>
      </c>
      <c r="L58" s="82">
        <f t="shared" si="20"/>
        <v>288.13</v>
      </c>
      <c r="M58" s="82">
        <f t="shared" si="24"/>
        <v>403.38199999999995</v>
      </c>
    </row>
    <row r="59" spans="1:22" x14ac:dyDescent="0.25">
      <c r="A59" s="98" t="s">
        <v>285</v>
      </c>
      <c r="B59" s="99" t="s">
        <v>286</v>
      </c>
      <c r="C59" s="100" t="s">
        <v>250</v>
      </c>
      <c r="D59" s="100">
        <v>2</v>
      </c>
      <c r="E59" s="100">
        <f t="shared" si="21"/>
        <v>53.9</v>
      </c>
      <c r="F59" s="100">
        <f t="shared" si="22"/>
        <v>107.8</v>
      </c>
      <c r="G59" s="102" t="e">
        <f t="shared" si="23"/>
        <v>#DIV/0!</v>
      </c>
      <c r="H59" s="82">
        <f t="shared" si="25"/>
        <v>37</v>
      </c>
      <c r="I59" s="128">
        <v>18.5</v>
      </c>
      <c r="J59" s="128">
        <v>10</v>
      </c>
      <c r="K59" s="128">
        <f t="shared" si="26"/>
        <v>10</v>
      </c>
      <c r="L59" s="82">
        <f t="shared" si="20"/>
        <v>38.5</v>
      </c>
      <c r="M59" s="82">
        <f t="shared" si="24"/>
        <v>53.9</v>
      </c>
    </row>
    <row r="60" spans="1:22" x14ac:dyDescent="0.25">
      <c r="A60" s="98" t="s">
        <v>287</v>
      </c>
      <c r="B60" s="99" t="s">
        <v>288</v>
      </c>
      <c r="C60" s="100" t="s">
        <v>250</v>
      </c>
      <c r="D60" s="100">
        <v>1</v>
      </c>
      <c r="E60" s="100">
        <f t="shared" si="21"/>
        <v>70.699999999999989</v>
      </c>
      <c r="F60" s="100">
        <f t="shared" si="22"/>
        <v>70.699999999999989</v>
      </c>
      <c r="G60" s="102" t="e">
        <f t="shared" si="23"/>
        <v>#DIV/0!</v>
      </c>
      <c r="H60" s="82">
        <f t="shared" si="25"/>
        <v>30.5</v>
      </c>
      <c r="I60" s="128">
        <f>[3]Planilha1!G29</f>
        <v>30.5</v>
      </c>
      <c r="J60" s="128">
        <v>10</v>
      </c>
      <c r="K60" s="128">
        <f t="shared" si="26"/>
        <v>10</v>
      </c>
      <c r="L60" s="82">
        <f t="shared" si="20"/>
        <v>50.5</v>
      </c>
      <c r="M60" s="82">
        <f t="shared" si="24"/>
        <v>70.699999999999989</v>
      </c>
    </row>
    <row r="61" spans="1:22" x14ac:dyDescent="0.25">
      <c r="A61" s="98" t="s">
        <v>289</v>
      </c>
      <c r="B61" s="99" t="s">
        <v>290</v>
      </c>
      <c r="C61" s="100" t="s">
        <v>250</v>
      </c>
      <c r="D61" s="100">
        <v>9</v>
      </c>
      <c r="E61" s="100">
        <f t="shared" si="21"/>
        <v>44.8</v>
      </c>
      <c r="F61" s="100">
        <f t="shared" si="22"/>
        <v>403.2</v>
      </c>
      <c r="G61" s="102" t="e">
        <f t="shared" si="23"/>
        <v>#DIV/0!</v>
      </c>
      <c r="H61" s="82">
        <f t="shared" si="25"/>
        <v>108</v>
      </c>
      <c r="I61" s="128">
        <f>[3]Planilha1!G30</f>
        <v>12</v>
      </c>
      <c r="J61" s="128">
        <v>10</v>
      </c>
      <c r="K61" s="128">
        <f t="shared" si="26"/>
        <v>10</v>
      </c>
      <c r="L61" s="82">
        <f t="shared" si="20"/>
        <v>32</v>
      </c>
      <c r="M61" s="82">
        <f t="shared" si="24"/>
        <v>44.8</v>
      </c>
    </row>
    <row r="62" spans="1:22" x14ac:dyDescent="0.25">
      <c r="A62" s="98" t="s">
        <v>291</v>
      </c>
      <c r="B62" s="99" t="s">
        <v>292</v>
      </c>
      <c r="C62" s="100" t="s">
        <v>250</v>
      </c>
      <c r="D62" s="100">
        <v>1</v>
      </c>
      <c r="E62" s="100">
        <f t="shared" si="21"/>
        <v>847.476</v>
      </c>
      <c r="F62" s="100">
        <f t="shared" si="22"/>
        <v>847.476</v>
      </c>
      <c r="G62" s="102" t="e">
        <f t="shared" si="23"/>
        <v>#DIV/0!</v>
      </c>
      <c r="H62" s="82">
        <f t="shared" si="25"/>
        <v>585.34</v>
      </c>
      <c r="I62" s="128">
        <f>[3]Planilha1!G31</f>
        <v>585.34</v>
      </c>
      <c r="J62" s="128">
        <v>10</v>
      </c>
      <c r="K62" s="128">
        <f t="shared" si="26"/>
        <v>10</v>
      </c>
      <c r="L62" s="82">
        <f t="shared" si="20"/>
        <v>605.34</v>
      </c>
      <c r="M62" s="82">
        <f t="shared" si="24"/>
        <v>847.476</v>
      </c>
    </row>
    <row r="63" spans="1:22" x14ac:dyDescent="0.25">
      <c r="A63" s="98" t="s">
        <v>293</v>
      </c>
      <c r="B63" s="99" t="s">
        <v>294</v>
      </c>
      <c r="C63" s="100" t="s">
        <v>250</v>
      </c>
      <c r="D63" s="100">
        <v>2</v>
      </c>
      <c r="E63" s="100">
        <f t="shared" si="21"/>
        <v>737.09999999999991</v>
      </c>
      <c r="F63" s="100">
        <f t="shared" si="22"/>
        <v>1474.1999999999998</v>
      </c>
      <c r="G63" s="102" t="e">
        <f t="shared" si="23"/>
        <v>#DIV/0!</v>
      </c>
      <c r="H63" s="82">
        <f t="shared" si="25"/>
        <v>1013</v>
      </c>
      <c r="I63" s="128">
        <f>[3]Planilha1!G32</f>
        <v>506.5</v>
      </c>
      <c r="J63" s="128">
        <v>10</v>
      </c>
      <c r="K63" s="128">
        <f t="shared" si="26"/>
        <v>10</v>
      </c>
      <c r="L63" s="82">
        <f t="shared" si="20"/>
        <v>526.5</v>
      </c>
      <c r="M63" s="82">
        <f t="shared" si="24"/>
        <v>737.09999999999991</v>
      </c>
    </row>
    <row r="64" spans="1:22" x14ac:dyDescent="0.25">
      <c r="A64" s="98" t="s">
        <v>295</v>
      </c>
      <c r="B64" s="99" t="s">
        <v>296</v>
      </c>
      <c r="C64" s="100" t="s">
        <v>250</v>
      </c>
      <c r="D64" s="100">
        <v>1</v>
      </c>
      <c r="E64" s="100">
        <f t="shared" si="21"/>
        <v>611.93999999999994</v>
      </c>
      <c r="F64" s="100">
        <f t="shared" si="22"/>
        <v>611.93999999999994</v>
      </c>
      <c r="G64" s="102" t="e">
        <f t="shared" si="23"/>
        <v>#DIV/0!</v>
      </c>
      <c r="H64" s="82">
        <f t="shared" si="25"/>
        <v>417.1</v>
      </c>
      <c r="I64" s="128">
        <f>[3]Planilha1!G33</f>
        <v>417.1</v>
      </c>
      <c r="J64" s="128">
        <v>10</v>
      </c>
      <c r="K64" s="128">
        <f t="shared" si="26"/>
        <v>10</v>
      </c>
      <c r="L64" s="82">
        <f t="shared" si="20"/>
        <v>437.1</v>
      </c>
      <c r="M64" s="82">
        <f t="shared" si="24"/>
        <v>611.93999999999994</v>
      </c>
    </row>
    <row r="65" spans="1:13" x14ac:dyDescent="0.25">
      <c r="A65" s="98" t="s">
        <v>297</v>
      </c>
      <c r="B65" s="99" t="s">
        <v>298</v>
      </c>
      <c r="C65" s="100" t="s">
        <v>250</v>
      </c>
      <c r="D65" s="100">
        <v>2</v>
      </c>
      <c r="E65" s="100">
        <f t="shared" si="21"/>
        <v>355.41800000000001</v>
      </c>
      <c r="F65" s="100">
        <f t="shared" si="22"/>
        <v>710.83600000000001</v>
      </c>
      <c r="G65" s="102" t="e">
        <f t="shared" si="23"/>
        <v>#DIV/0!</v>
      </c>
      <c r="H65" s="82">
        <f t="shared" si="25"/>
        <v>467.74</v>
      </c>
      <c r="I65" s="128">
        <f>[3]Planilha1!G34</f>
        <v>233.87</v>
      </c>
      <c r="J65" s="128">
        <v>10</v>
      </c>
      <c r="K65" s="128">
        <f t="shared" si="26"/>
        <v>10</v>
      </c>
      <c r="L65" s="82">
        <f t="shared" si="20"/>
        <v>253.87</v>
      </c>
      <c r="M65" s="82">
        <f t="shared" si="24"/>
        <v>355.41800000000001</v>
      </c>
    </row>
    <row r="66" spans="1:13" x14ac:dyDescent="0.25">
      <c r="A66" s="98" t="s">
        <v>299</v>
      </c>
      <c r="B66" s="99" t="s">
        <v>300</v>
      </c>
      <c r="C66" s="100" t="s">
        <v>250</v>
      </c>
      <c r="D66" s="100">
        <v>1</v>
      </c>
      <c r="E66" s="100">
        <f t="shared" si="21"/>
        <v>2184</v>
      </c>
      <c r="F66" s="100">
        <f t="shared" si="22"/>
        <v>2184</v>
      </c>
      <c r="G66" s="102" t="e">
        <f t="shared" si="23"/>
        <v>#DIV/0!</v>
      </c>
      <c r="H66" s="82">
        <f t="shared" si="25"/>
        <v>1540</v>
      </c>
      <c r="I66" s="128">
        <v>1540</v>
      </c>
      <c r="J66" s="128">
        <v>10</v>
      </c>
      <c r="K66" s="128">
        <f t="shared" si="26"/>
        <v>10</v>
      </c>
      <c r="L66" s="82">
        <f t="shared" si="20"/>
        <v>1560</v>
      </c>
      <c r="M66" s="82">
        <f t="shared" si="24"/>
        <v>2184</v>
      </c>
    </row>
    <row r="67" spans="1:13" ht="25.5" x14ac:dyDescent="0.25">
      <c r="A67" s="98" t="s">
        <v>301</v>
      </c>
      <c r="B67" s="99" t="s">
        <v>302</v>
      </c>
      <c r="C67" s="100" t="s">
        <v>250</v>
      </c>
      <c r="D67" s="100">
        <v>1</v>
      </c>
      <c r="E67" s="100">
        <f t="shared" si="21"/>
        <v>4537.7219999999998</v>
      </c>
      <c r="F67" s="100">
        <f t="shared" si="22"/>
        <v>4537.7219999999998</v>
      </c>
      <c r="G67" s="102" t="e">
        <f t="shared" si="23"/>
        <v>#DIV/0!</v>
      </c>
      <c r="H67" s="82">
        <f t="shared" si="25"/>
        <v>3221.23</v>
      </c>
      <c r="I67" s="128">
        <f>[3]Planilha1!G36</f>
        <v>3221.23</v>
      </c>
      <c r="J67" s="128">
        <v>10</v>
      </c>
      <c r="K67" s="128">
        <f t="shared" si="26"/>
        <v>10</v>
      </c>
      <c r="L67" s="82">
        <f t="shared" si="20"/>
        <v>3241.23</v>
      </c>
      <c r="M67" s="82">
        <f t="shared" si="24"/>
        <v>4537.7219999999998</v>
      </c>
    </row>
    <row r="68" spans="1:13" x14ac:dyDescent="0.25">
      <c r="A68" s="98" t="s">
        <v>303</v>
      </c>
      <c r="B68" s="99" t="s">
        <v>304</v>
      </c>
      <c r="C68" s="100" t="s">
        <v>250</v>
      </c>
      <c r="D68" s="100">
        <v>2</v>
      </c>
      <c r="E68" s="100">
        <f t="shared" si="21"/>
        <v>924.75599999999986</v>
      </c>
      <c r="F68" s="100">
        <f t="shared" si="22"/>
        <v>1849.5119999999997</v>
      </c>
      <c r="G68" s="102" t="e">
        <f t="shared" si="23"/>
        <v>#DIV/0!</v>
      </c>
      <c r="H68" s="82">
        <f t="shared" si="25"/>
        <v>1281.08</v>
      </c>
      <c r="I68" s="128">
        <f>[3]Planilha1!G37</f>
        <v>640.54</v>
      </c>
      <c r="J68" s="128">
        <v>10</v>
      </c>
      <c r="K68" s="128">
        <f t="shared" si="26"/>
        <v>10</v>
      </c>
      <c r="L68" s="82">
        <f t="shared" si="20"/>
        <v>660.54</v>
      </c>
      <c r="M68" s="82">
        <f t="shared" si="24"/>
        <v>924.75599999999986</v>
      </c>
    </row>
    <row r="69" spans="1:13" x14ac:dyDescent="0.25">
      <c r="A69" s="98" t="s">
        <v>305</v>
      </c>
      <c r="B69" s="99" t="s">
        <v>306</v>
      </c>
      <c r="C69" s="100" t="s">
        <v>250</v>
      </c>
      <c r="D69" s="100">
        <v>1</v>
      </c>
      <c r="E69" s="100">
        <f t="shared" si="21"/>
        <v>1150.6599999999999</v>
      </c>
      <c r="F69" s="100">
        <f t="shared" si="22"/>
        <v>1150.6599999999999</v>
      </c>
      <c r="G69" s="102" t="e">
        <f t="shared" si="23"/>
        <v>#DIV/0!</v>
      </c>
      <c r="H69" s="82">
        <f t="shared" si="25"/>
        <v>801.9</v>
      </c>
      <c r="I69" s="128">
        <f>[3]Planilha1!G38</f>
        <v>801.9</v>
      </c>
      <c r="J69" s="128">
        <v>10</v>
      </c>
      <c r="K69" s="128">
        <f t="shared" si="26"/>
        <v>10</v>
      </c>
      <c r="L69" s="82">
        <f t="shared" si="20"/>
        <v>821.9</v>
      </c>
      <c r="M69" s="82">
        <f t="shared" si="24"/>
        <v>1150.6599999999999</v>
      </c>
    </row>
    <row r="70" spans="1:13" x14ac:dyDescent="0.25">
      <c r="A70" s="98" t="s">
        <v>307</v>
      </c>
      <c r="B70" s="99" t="s">
        <v>308</v>
      </c>
      <c r="C70" s="100" t="s">
        <v>250</v>
      </c>
      <c r="D70" s="100">
        <v>1</v>
      </c>
      <c r="E70" s="100">
        <f t="shared" si="21"/>
        <v>611.93999999999994</v>
      </c>
      <c r="F70" s="100">
        <f t="shared" si="22"/>
        <v>611.93999999999994</v>
      </c>
      <c r="G70" s="102" t="e">
        <f t="shared" si="23"/>
        <v>#DIV/0!</v>
      </c>
      <c r="H70" s="82">
        <f t="shared" si="25"/>
        <v>417.1</v>
      </c>
      <c r="I70" s="128">
        <f>[3]Planilha1!G39</f>
        <v>417.1</v>
      </c>
      <c r="J70" s="128">
        <v>10</v>
      </c>
      <c r="K70" s="128">
        <f t="shared" si="26"/>
        <v>10</v>
      </c>
      <c r="L70" s="82">
        <f t="shared" si="20"/>
        <v>437.1</v>
      </c>
      <c r="M70" s="82">
        <f t="shared" si="24"/>
        <v>611.93999999999994</v>
      </c>
    </row>
    <row r="71" spans="1:13" x14ac:dyDescent="0.25">
      <c r="A71" s="98" t="s">
        <v>309</v>
      </c>
      <c r="B71" s="99" t="s">
        <v>310</v>
      </c>
      <c r="C71" s="100" t="s">
        <v>250</v>
      </c>
      <c r="D71" s="100">
        <v>2</v>
      </c>
      <c r="E71" s="100">
        <f t="shared" si="21"/>
        <v>663.99199999999996</v>
      </c>
      <c r="F71" s="100">
        <f t="shared" si="22"/>
        <v>1327.9839999999999</v>
      </c>
      <c r="G71" s="102" t="e">
        <f t="shared" si="23"/>
        <v>#DIV/0!</v>
      </c>
      <c r="H71" s="82">
        <f t="shared" si="25"/>
        <v>908.56</v>
      </c>
      <c r="I71" s="128">
        <f>[3]Planilha1!G40</f>
        <v>454.28</v>
      </c>
      <c r="J71" s="128">
        <v>10</v>
      </c>
      <c r="K71" s="128">
        <f t="shared" si="26"/>
        <v>10</v>
      </c>
      <c r="L71" s="82">
        <f t="shared" si="20"/>
        <v>474.28</v>
      </c>
      <c r="M71" s="82">
        <f t="shared" si="24"/>
        <v>663.99199999999996</v>
      </c>
    </row>
    <row r="72" spans="1:13" x14ac:dyDescent="0.25">
      <c r="A72" s="98" t="s">
        <v>311</v>
      </c>
      <c r="B72" s="99" t="s">
        <v>312</v>
      </c>
      <c r="C72" s="100" t="s">
        <v>250</v>
      </c>
      <c r="D72" s="100">
        <v>3</v>
      </c>
      <c r="E72" s="100">
        <f t="shared" si="21"/>
        <v>586.74</v>
      </c>
      <c r="F72" s="100">
        <f t="shared" si="22"/>
        <v>1760.22</v>
      </c>
      <c r="G72" s="102" t="e">
        <f t="shared" si="23"/>
        <v>#DIV/0!</v>
      </c>
      <c r="H72" s="82">
        <f t="shared" si="25"/>
        <v>1197.3000000000002</v>
      </c>
      <c r="I72" s="128">
        <f>[3]Planilha1!G41</f>
        <v>399.1</v>
      </c>
      <c r="J72" s="128">
        <v>10</v>
      </c>
      <c r="K72" s="128">
        <f t="shared" si="26"/>
        <v>10</v>
      </c>
      <c r="L72" s="82">
        <f t="shared" si="20"/>
        <v>419.1</v>
      </c>
      <c r="M72" s="82">
        <f t="shared" si="24"/>
        <v>586.74</v>
      </c>
    </row>
    <row r="73" spans="1:13" x14ac:dyDescent="0.25">
      <c r="A73" s="98" t="s">
        <v>313</v>
      </c>
      <c r="B73" s="99" t="s">
        <v>314</v>
      </c>
      <c r="C73" s="100" t="s">
        <v>250</v>
      </c>
      <c r="D73" s="100">
        <v>8</v>
      </c>
      <c r="E73" s="100">
        <f t="shared" si="21"/>
        <v>400.48399999999998</v>
      </c>
      <c r="F73" s="100">
        <f t="shared" si="22"/>
        <v>3203.8719999999998</v>
      </c>
      <c r="G73" s="102" t="e">
        <f t="shared" si="23"/>
        <v>#DIV/0!</v>
      </c>
      <c r="H73" s="82">
        <f t="shared" si="25"/>
        <v>2128.48</v>
      </c>
      <c r="I73" s="128">
        <f>[3]Planilha1!G42</f>
        <v>266.06</v>
      </c>
      <c r="J73" s="128">
        <v>10</v>
      </c>
      <c r="K73" s="128">
        <f t="shared" si="26"/>
        <v>10</v>
      </c>
      <c r="L73" s="82">
        <f t="shared" si="20"/>
        <v>286.06</v>
      </c>
      <c r="M73" s="82">
        <f t="shared" si="24"/>
        <v>400.48399999999998</v>
      </c>
    </row>
    <row r="74" spans="1:13" x14ac:dyDescent="0.25">
      <c r="A74" s="98" t="s">
        <v>315</v>
      </c>
      <c r="B74" s="99" t="s">
        <v>316</v>
      </c>
      <c r="C74" s="100" t="s">
        <v>250</v>
      </c>
      <c r="D74" s="100">
        <v>1</v>
      </c>
      <c r="E74" s="100">
        <f t="shared" si="21"/>
        <v>716.19799999999998</v>
      </c>
      <c r="F74" s="100">
        <f t="shared" si="22"/>
        <v>716.19799999999998</v>
      </c>
      <c r="G74" s="102" t="e">
        <f t="shared" si="23"/>
        <v>#DIV/0!</v>
      </c>
      <c r="H74" s="82">
        <f t="shared" si="25"/>
        <v>491.57</v>
      </c>
      <c r="I74" s="128">
        <f>[3]Planilha1!G43</f>
        <v>491.57</v>
      </c>
      <c r="J74" s="128">
        <v>10</v>
      </c>
      <c r="K74" s="128">
        <f t="shared" si="26"/>
        <v>10</v>
      </c>
      <c r="L74" s="82">
        <f t="shared" si="20"/>
        <v>511.57</v>
      </c>
      <c r="M74" s="82">
        <f t="shared" si="24"/>
        <v>716.19799999999998</v>
      </c>
    </row>
    <row r="75" spans="1:13" x14ac:dyDescent="0.25">
      <c r="A75" s="98" t="s">
        <v>317</v>
      </c>
      <c r="B75" s="99" t="s">
        <v>318</v>
      </c>
      <c r="C75" s="100" t="s">
        <v>250</v>
      </c>
      <c r="D75" s="100">
        <v>2</v>
      </c>
      <c r="E75" s="100">
        <f t="shared" si="21"/>
        <v>403.38199999999995</v>
      </c>
      <c r="F75" s="100">
        <f t="shared" si="22"/>
        <v>806.7639999999999</v>
      </c>
      <c r="G75" s="102" t="e">
        <f t="shared" si="23"/>
        <v>#DIV/0!</v>
      </c>
      <c r="H75" s="82">
        <f t="shared" si="25"/>
        <v>536.26</v>
      </c>
      <c r="I75" s="128">
        <f>[3]Planilha1!G44</f>
        <v>268.13</v>
      </c>
      <c r="J75" s="128">
        <v>10</v>
      </c>
      <c r="K75" s="128">
        <f t="shared" si="26"/>
        <v>10</v>
      </c>
      <c r="L75" s="82">
        <f t="shared" si="20"/>
        <v>288.13</v>
      </c>
      <c r="M75" s="82">
        <f t="shared" si="24"/>
        <v>403.38199999999995</v>
      </c>
    </row>
    <row r="76" spans="1:13" x14ac:dyDescent="0.25">
      <c r="A76" s="98" t="s">
        <v>319</v>
      </c>
      <c r="B76" s="99" t="s">
        <v>320</v>
      </c>
      <c r="C76" s="100" t="s">
        <v>250</v>
      </c>
      <c r="D76" s="100">
        <v>35</v>
      </c>
      <c r="E76" s="100">
        <f t="shared" si="21"/>
        <v>320.05399999999997</v>
      </c>
      <c r="F76" s="100">
        <f t="shared" si="22"/>
        <v>11201.89</v>
      </c>
      <c r="G76" s="102" t="e">
        <f t="shared" si="23"/>
        <v>#DIV/0!</v>
      </c>
      <c r="H76" s="82">
        <f t="shared" si="25"/>
        <v>7301.35</v>
      </c>
      <c r="I76" s="128">
        <f>[3]Planilha1!G45</f>
        <v>208.61</v>
      </c>
      <c r="J76" s="128">
        <v>10</v>
      </c>
      <c r="K76" s="128">
        <f t="shared" si="26"/>
        <v>10</v>
      </c>
      <c r="L76" s="82">
        <f t="shared" si="20"/>
        <v>228.61</v>
      </c>
      <c r="M76" s="82">
        <f t="shared" si="24"/>
        <v>320.05399999999997</v>
      </c>
    </row>
    <row r="77" spans="1:13" x14ac:dyDescent="0.25">
      <c r="A77" s="98" t="s">
        <v>321</v>
      </c>
      <c r="B77" s="99" t="s">
        <v>322</v>
      </c>
      <c r="C77" s="100" t="s">
        <v>250</v>
      </c>
      <c r="D77" s="100">
        <v>2</v>
      </c>
      <c r="E77" s="100">
        <f t="shared" si="21"/>
        <v>208.87999999999997</v>
      </c>
      <c r="F77" s="100">
        <f t="shared" si="22"/>
        <v>417.75999999999993</v>
      </c>
      <c r="G77" s="102" t="e">
        <f t="shared" si="23"/>
        <v>#DIV/0!</v>
      </c>
      <c r="H77" s="82">
        <f t="shared" si="25"/>
        <v>258.39999999999998</v>
      </c>
      <c r="I77" s="128">
        <f>[3]Planilha1!G46</f>
        <v>129.19999999999999</v>
      </c>
      <c r="J77" s="128">
        <v>10</v>
      </c>
      <c r="K77" s="128">
        <f t="shared" si="26"/>
        <v>10</v>
      </c>
      <c r="L77" s="82">
        <f t="shared" si="20"/>
        <v>149.19999999999999</v>
      </c>
      <c r="M77" s="82">
        <f t="shared" si="24"/>
        <v>208.87999999999997</v>
      </c>
    </row>
    <row r="78" spans="1:13" x14ac:dyDescent="0.25">
      <c r="A78" s="98" t="s">
        <v>323</v>
      </c>
      <c r="B78" s="99" t="s">
        <v>324</v>
      </c>
      <c r="C78" s="100" t="s">
        <v>250</v>
      </c>
      <c r="D78" s="100">
        <v>1</v>
      </c>
      <c r="E78" s="100">
        <f t="shared" si="21"/>
        <v>78.399999999999991</v>
      </c>
      <c r="F78" s="100">
        <f t="shared" si="22"/>
        <v>78.399999999999991</v>
      </c>
      <c r="G78" s="102" t="e">
        <f t="shared" si="23"/>
        <v>#DIV/0!</v>
      </c>
      <c r="H78" s="82">
        <f t="shared" si="25"/>
        <v>36</v>
      </c>
      <c r="I78" s="128">
        <f>[3]Planilha1!G47</f>
        <v>36</v>
      </c>
      <c r="J78" s="128">
        <v>10</v>
      </c>
      <c r="K78" s="128">
        <f t="shared" si="26"/>
        <v>10</v>
      </c>
      <c r="L78" s="82">
        <f t="shared" si="20"/>
        <v>56</v>
      </c>
      <c r="M78" s="82">
        <f t="shared" si="24"/>
        <v>78.399999999999991</v>
      </c>
    </row>
    <row r="79" spans="1:13" x14ac:dyDescent="0.25">
      <c r="A79" s="98" t="s">
        <v>325</v>
      </c>
      <c r="B79" s="99" t="s">
        <v>326</v>
      </c>
      <c r="C79" s="100" t="s">
        <v>250</v>
      </c>
      <c r="D79" s="100">
        <v>8</v>
      </c>
      <c r="E79" s="100">
        <f t="shared" si="21"/>
        <v>62.719999999999992</v>
      </c>
      <c r="F79" s="100">
        <f t="shared" si="22"/>
        <v>501.75999999999993</v>
      </c>
      <c r="G79" s="102" t="e">
        <f t="shared" si="23"/>
        <v>#DIV/0!</v>
      </c>
      <c r="H79" s="82">
        <f t="shared" si="25"/>
        <v>198.4</v>
      </c>
      <c r="I79" s="128">
        <f>[3]Planilha1!G48</f>
        <v>24.8</v>
      </c>
      <c r="J79" s="128">
        <v>10</v>
      </c>
      <c r="K79" s="128">
        <f t="shared" si="26"/>
        <v>10</v>
      </c>
      <c r="L79" s="82">
        <f t="shared" si="20"/>
        <v>44.8</v>
      </c>
      <c r="M79" s="82">
        <f t="shared" si="24"/>
        <v>62.719999999999992</v>
      </c>
    </row>
    <row r="80" spans="1:13" x14ac:dyDescent="0.25">
      <c r="A80" s="98" t="s">
        <v>327</v>
      </c>
      <c r="B80" s="99" t="s">
        <v>328</v>
      </c>
      <c r="C80" s="100" t="s">
        <v>250</v>
      </c>
      <c r="D80" s="100">
        <v>12</v>
      </c>
      <c r="E80" s="100">
        <f t="shared" si="21"/>
        <v>208.25</v>
      </c>
      <c r="F80" s="100">
        <f t="shared" si="22"/>
        <v>2499</v>
      </c>
      <c r="G80" s="102" t="e">
        <f t="shared" si="23"/>
        <v>#DIV/0!</v>
      </c>
      <c r="H80" s="82">
        <f t="shared" si="25"/>
        <v>1545</v>
      </c>
      <c r="I80" s="128">
        <f>[3]Planilha1!G49</f>
        <v>128.75</v>
      </c>
      <c r="J80" s="128">
        <v>10</v>
      </c>
      <c r="K80" s="128">
        <f t="shared" si="26"/>
        <v>10</v>
      </c>
      <c r="L80" s="82">
        <f t="shared" si="20"/>
        <v>148.75</v>
      </c>
      <c r="M80" s="82">
        <f t="shared" si="24"/>
        <v>208.25</v>
      </c>
    </row>
    <row r="81" spans="1:14" x14ac:dyDescent="0.25">
      <c r="A81" s="98" t="s">
        <v>329</v>
      </c>
      <c r="B81" s="99" t="s">
        <v>330</v>
      </c>
      <c r="C81" s="100" t="s">
        <v>250</v>
      </c>
      <c r="D81" s="100">
        <v>31</v>
      </c>
      <c r="E81" s="100">
        <f t="shared" si="21"/>
        <v>46.480000000000004</v>
      </c>
      <c r="F81" s="100">
        <f t="shared" si="22"/>
        <v>1440.88</v>
      </c>
      <c r="G81" s="102" t="e">
        <f t="shared" si="23"/>
        <v>#DIV/0!</v>
      </c>
      <c r="H81" s="82">
        <f t="shared" si="25"/>
        <v>409.2</v>
      </c>
      <c r="I81" s="128">
        <f>[3]Planilha1!G50</f>
        <v>13.2</v>
      </c>
      <c r="J81" s="128">
        <v>10</v>
      </c>
      <c r="K81" s="128">
        <f t="shared" si="26"/>
        <v>10</v>
      </c>
      <c r="L81" s="82">
        <f t="shared" si="20"/>
        <v>33.200000000000003</v>
      </c>
      <c r="M81" s="82">
        <f t="shared" si="24"/>
        <v>46.480000000000004</v>
      </c>
    </row>
    <row r="82" spans="1:14" x14ac:dyDescent="0.25">
      <c r="A82" s="98" t="s">
        <v>331</v>
      </c>
      <c r="B82" s="99" t="s">
        <v>332</v>
      </c>
      <c r="C82" s="100" t="s">
        <v>250</v>
      </c>
      <c r="D82" s="100">
        <v>3</v>
      </c>
      <c r="E82" s="100">
        <f t="shared" si="21"/>
        <v>42.251999999999995</v>
      </c>
      <c r="F82" s="100">
        <f t="shared" si="22"/>
        <v>126.75599999999999</v>
      </c>
      <c r="G82" s="102" t="e">
        <f t="shared" si="23"/>
        <v>#DIV/0!</v>
      </c>
      <c r="H82" s="82">
        <f t="shared" si="25"/>
        <v>30.54</v>
      </c>
      <c r="I82" s="128">
        <f>[3]Planilha1!G51</f>
        <v>10.18</v>
      </c>
      <c r="J82" s="128">
        <v>10</v>
      </c>
      <c r="K82" s="128">
        <f t="shared" si="26"/>
        <v>10</v>
      </c>
      <c r="L82" s="82">
        <f t="shared" si="20"/>
        <v>30.18</v>
      </c>
      <c r="M82" s="82">
        <f t="shared" si="24"/>
        <v>42.251999999999995</v>
      </c>
    </row>
    <row r="83" spans="1:14" x14ac:dyDescent="0.25">
      <c r="A83" s="98" t="s">
        <v>333</v>
      </c>
      <c r="B83" s="99" t="s">
        <v>334</v>
      </c>
      <c r="C83" s="100" t="s">
        <v>250</v>
      </c>
      <c r="D83" s="100">
        <v>4</v>
      </c>
      <c r="E83" s="100">
        <f t="shared" si="21"/>
        <v>64.11999999999999</v>
      </c>
      <c r="F83" s="100">
        <f t="shared" si="22"/>
        <v>256.47999999999996</v>
      </c>
      <c r="G83" s="102" t="e">
        <f t="shared" si="23"/>
        <v>#DIV/0!</v>
      </c>
      <c r="H83" s="82">
        <f t="shared" si="25"/>
        <v>103.2</v>
      </c>
      <c r="I83" s="128">
        <f>[3]Planilha1!G52</f>
        <v>25.8</v>
      </c>
      <c r="J83" s="128">
        <v>10</v>
      </c>
      <c r="K83" s="128">
        <f t="shared" si="26"/>
        <v>10</v>
      </c>
      <c r="L83" s="82">
        <f t="shared" si="20"/>
        <v>45.8</v>
      </c>
      <c r="M83" s="82">
        <f t="shared" si="24"/>
        <v>64.11999999999999</v>
      </c>
    </row>
    <row r="84" spans="1:14" x14ac:dyDescent="0.25">
      <c r="A84" s="98" t="s">
        <v>335</v>
      </c>
      <c r="B84" s="99" t="s">
        <v>336</v>
      </c>
      <c r="C84" s="100" t="s">
        <v>250</v>
      </c>
      <c r="D84" s="100">
        <v>1</v>
      </c>
      <c r="E84" s="100">
        <f t="shared" si="21"/>
        <v>945.50399999999991</v>
      </c>
      <c r="F84" s="100">
        <f t="shared" si="22"/>
        <v>945.50399999999991</v>
      </c>
      <c r="G84" s="102" t="e">
        <f t="shared" si="23"/>
        <v>#DIV/0!</v>
      </c>
      <c r="H84" s="82">
        <f t="shared" si="25"/>
        <v>655.36</v>
      </c>
      <c r="I84" s="128">
        <f>[3]Planilha1!G53</f>
        <v>655.36</v>
      </c>
      <c r="J84" s="128">
        <v>10</v>
      </c>
      <c r="K84" s="128">
        <f t="shared" si="26"/>
        <v>10</v>
      </c>
      <c r="L84" s="82">
        <f t="shared" si="20"/>
        <v>675.36</v>
      </c>
      <c r="M84" s="82">
        <f t="shared" si="24"/>
        <v>945.50399999999991</v>
      </c>
    </row>
    <row r="85" spans="1:14" ht="25.5" x14ac:dyDescent="0.25">
      <c r="A85" s="98" t="s">
        <v>337</v>
      </c>
      <c r="B85" s="104" t="s">
        <v>338</v>
      </c>
      <c r="C85" s="105" t="s">
        <v>250</v>
      </c>
      <c r="D85" s="105">
        <v>2</v>
      </c>
      <c r="E85" s="105">
        <f t="shared" si="21"/>
        <v>9443</v>
      </c>
      <c r="F85" s="105">
        <f t="shared" si="22"/>
        <v>18886</v>
      </c>
      <c r="G85" s="102" t="e">
        <f t="shared" si="23"/>
        <v>#DIV/0!</v>
      </c>
      <c r="H85" s="82">
        <f t="shared" si="25"/>
        <v>12470</v>
      </c>
      <c r="I85" s="128">
        <f>[3]Planilha1!G54</f>
        <v>6235</v>
      </c>
      <c r="J85" s="128">
        <v>500</v>
      </c>
      <c r="K85" s="128">
        <f t="shared" si="26"/>
        <v>10</v>
      </c>
      <c r="L85" s="82">
        <f t="shared" si="20"/>
        <v>6745</v>
      </c>
      <c r="M85" s="82">
        <f t="shared" si="24"/>
        <v>9443</v>
      </c>
    </row>
    <row r="86" spans="1:14" x14ac:dyDescent="0.25">
      <c r="A86" s="98" t="s">
        <v>339</v>
      </c>
      <c r="B86" s="99" t="s">
        <v>340</v>
      </c>
      <c r="C86" s="100" t="s">
        <v>230</v>
      </c>
      <c r="D86" s="100">
        <f>D87+D88+D89+D90+D91</f>
        <v>8936.67</v>
      </c>
      <c r="E86" s="100">
        <f t="shared" si="21"/>
        <v>1.8199999999999998</v>
      </c>
      <c r="F86" s="100">
        <f t="shared" si="22"/>
        <v>16264.739399999999</v>
      </c>
      <c r="G86" s="102" t="e">
        <f t="shared" si="23"/>
        <v>#DIV/0!</v>
      </c>
      <c r="H86" s="82">
        <f t="shared" si="25"/>
        <v>2681.0009999999997</v>
      </c>
      <c r="I86" s="128">
        <f>I95</f>
        <v>0.3</v>
      </c>
      <c r="J86" s="128">
        <f>J95</f>
        <v>0.8</v>
      </c>
      <c r="K86" s="128">
        <f>K95</f>
        <v>0.2</v>
      </c>
      <c r="L86" s="82">
        <f t="shared" si="20"/>
        <v>1.3</v>
      </c>
      <c r="M86" s="82">
        <f t="shared" si="24"/>
        <v>1.8199999999999998</v>
      </c>
    </row>
    <row r="87" spans="1:14" ht="25.5" x14ac:dyDescent="0.25">
      <c r="A87" s="98" t="s">
        <v>341</v>
      </c>
      <c r="B87" s="99" t="s">
        <v>342</v>
      </c>
      <c r="C87" s="100" t="s">
        <v>230</v>
      </c>
      <c r="D87" s="100">
        <v>396.48</v>
      </c>
      <c r="E87" s="100">
        <f t="shared" si="21"/>
        <v>186.88701515151513</v>
      </c>
      <c r="F87" s="100">
        <f t="shared" si="22"/>
        <v>74096.963767272726</v>
      </c>
      <c r="G87" s="102" t="e">
        <f t="shared" si="23"/>
        <v>#DIV/0!</v>
      </c>
      <c r="H87" s="82">
        <f t="shared" si="25"/>
        <v>45829.784</v>
      </c>
      <c r="I87" s="128">
        <f>[3]Planilha1!G56/6</f>
        <v>115.59166666666665</v>
      </c>
      <c r="J87" s="128">
        <f>J96</f>
        <v>12.809740259740259</v>
      </c>
      <c r="K87" s="128">
        <f>K96</f>
        <v>5.0893181818181823</v>
      </c>
      <c r="L87" s="82">
        <f t="shared" si="20"/>
        <v>133.49072510822509</v>
      </c>
      <c r="M87" s="82">
        <f t="shared" si="24"/>
        <v>186.88701515151513</v>
      </c>
    </row>
    <row r="88" spans="1:14" ht="25.5" x14ac:dyDescent="0.25">
      <c r="A88" s="98" t="s">
        <v>343</v>
      </c>
      <c r="B88" s="104" t="s">
        <v>344</v>
      </c>
      <c r="C88" s="105" t="s">
        <v>230</v>
      </c>
      <c r="D88" s="105">
        <v>291.61</v>
      </c>
      <c r="E88" s="105">
        <f t="shared" si="21"/>
        <v>117.28368181818182</v>
      </c>
      <c r="F88" s="105">
        <f t="shared" si="22"/>
        <v>34201.094454999999</v>
      </c>
      <c r="G88" s="102" t="e">
        <f t="shared" si="23"/>
        <v>#DIV/0!</v>
      </c>
      <c r="H88" s="82">
        <f t="shared" si="25"/>
        <v>19209.80875</v>
      </c>
      <c r="I88" s="128">
        <f>[3]Planilha1!G57/6</f>
        <v>65.875</v>
      </c>
      <c r="J88" s="128">
        <f>J87</f>
        <v>12.809740259740259</v>
      </c>
      <c r="K88" s="128">
        <f>K87</f>
        <v>5.0893181818181823</v>
      </c>
      <c r="L88" s="82">
        <f t="shared" si="20"/>
        <v>83.774058441558452</v>
      </c>
      <c r="M88" s="82">
        <f t="shared" si="24"/>
        <v>117.28368181818182</v>
      </c>
    </row>
    <row r="89" spans="1:14" ht="25.5" x14ac:dyDescent="0.25">
      <c r="A89" s="98" t="s">
        <v>345</v>
      </c>
      <c r="B89" s="104" t="s">
        <v>346</v>
      </c>
      <c r="C89" s="105" t="s">
        <v>230</v>
      </c>
      <c r="D89" s="105">
        <v>201.75</v>
      </c>
      <c r="E89" s="105">
        <f t="shared" si="21"/>
        <v>70.353429292929277</v>
      </c>
      <c r="F89" s="105">
        <f t="shared" si="22"/>
        <v>14193.804359848482</v>
      </c>
      <c r="G89" s="102" t="e">
        <f t="shared" si="23"/>
        <v>#DIV/0!</v>
      </c>
      <c r="H89" s="82">
        <f t="shared" si="25"/>
        <v>7101.5999999999995</v>
      </c>
      <c r="I89" s="128">
        <f>[3]Planilha1!G58/6</f>
        <v>35.199999999999996</v>
      </c>
      <c r="J89" s="128">
        <f>$T$41/180</f>
        <v>9.9631313131313117</v>
      </c>
      <c r="K89" s="128">
        <f>K88</f>
        <v>5.0893181818181823</v>
      </c>
      <c r="L89" s="82">
        <f t="shared" si="20"/>
        <v>50.252449494949488</v>
      </c>
      <c r="M89" s="82">
        <f t="shared" si="24"/>
        <v>70.353429292929277</v>
      </c>
    </row>
    <row r="90" spans="1:14" ht="25.5" x14ac:dyDescent="0.25">
      <c r="A90" s="98" t="s">
        <v>347</v>
      </c>
      <c r="B90" s="104" t="s">
        <v>348</v>
      </c>
      <c r="C90" s="105" t="s">
        <v>230</v>
      </c>
      <c r="D90" s="105">
        <v>410.64</v>
      </c>
      <c r="E90" s="105">
        <f t="shared" si="21"/>
        <v>50.333429292929281</v>
      </c>
      <c r="F90" s="105">
        <f t="shared" si="22"/>
        <v>20668.919404848479</v>
      </c>
      <c r="G90" s="102" t="e">
        <f t="shared" si="23"/>
        <v>#DIV/0!</v>
      </c>
      <c r="H90" s="82">
        <f t="shared" si="25"/>
        <v>8582.3760000000002</v>
      </c>
      <c r="I90" s="128">
        <f>[3]Planilha1!G59/6</f>
        <v>20.900000000000002</v>
      </c>
      <c r="J90" s="128">
        <f>J89</f>
        <v>9.9631313131313117</v>
      </c>
      <c r="K90" s="128">
        <f>K89</f>
        <v>5.0893181818181823</v>
      </c>
      <c r="L90" s="82">
        <f t="shared" si="20"/>
        <v>35.952449494949491</v>
      </c>
      <c r="M90" s="82">
        <f t="shared" si="24"/>
        <v>50.333429292929281</v>
      </c>
    </row>
    <row r="91" spans="1:14" ht="25.5" x14ac:dyDescent="0.25">
      <c r="A91" s="98" t="s">
        <v>349</v>
      </c>
      <c r="B91" s="104" t="s">
        <v>350</v>
      </c>
      <c r="C91" s="105" t="s">
        <v>230</v>
      </c>
      <c r="D91" s="105">
        <v>7636.19</v>
      </c>
      <c r="E91" s="105">
        <f t="shared" si="21"/>
        <v>35.652095959595954</v>
      </c>
      <c r="F91" s="105">
        <f t="shared" si="22"/>
        <v>272246.17864570703</v>
      </c>
      <c r="G91" s="102" t="e">
        <f t="shared" si="23"/>
        <v>#DIV/0!</v>
      </c>
      <c r="H91" s="82">
        <f t="shared" si="25"/>
        <v>79518.191866666661</v>
      </c>
      <c r="I91" s="128">
        <f>[3]Planilha1!G60/6</f>
        <v>10.413333333333332</v>
      </c>
      <c r="J91" s="128">
        <f>J90</f>
        <v>9.9631313131313117</v>
      </c>
      <c r="K91" s="128">
        <f>K90</f>
        <v>5.0893181818181823</v>
      </c>
      <c r="L91" s="82">
        <f t="shared" si="20"/>
        <v>25.465782828282826</v>
      </c>
      <c r="M91" s="82">
        <f t="shared" si="24"/>
        <v>35.652095959595954</v>
      </c>
    </row>
    <row r="92" spans="1:14" x14ac:dyDescent="0.25">
      <c r="A92" s="98"/>
      <c r="B92" s="99" t="s">
        <v>215</v>
      </c>
      <c r="C92" s="100"/>
      <c r="D92" s="100"/>
      <c r="E92" s="100"/>
      <c r="F92" s="100">
        <f>SUM(F49:F91)</f>
        <v>572606.22803267674</v>
      </c>
      <c r="H92" s="83"/>
      <c r="I92" s="128"/>
      <c r="J92" s="128"/>
      <c r="K92" s="128"/>
    </row>
    <row r="93" spans="1:14" x14ac:dyDescent="0.25">
      <c r="A93" s="98"/>
      <c r="B93" s="99"/>
      <c r="C93" s="100"/>
      <c r="D93" s="100"/>
      <c r="E93" s="100"/>
      <c r="F93" s="100"/>
      <c r="I93" s="128"/>
      <c r="J93" s="128"/>
      <c r="K93" s="128"/>
    </row>
    <row r="94" spans="1:14" x14ac:dyDescent="0.25">
      <c r="A94" s="98">
        <v>5</v>
      </c>
      <c r="B94" s="99" t="s">
        <v>351</v>
      </c>
      <c r="C94" s="100"/>
      <c r="D94" s="100"/>
      <c r="E94" s="100"/>
      <c r="F94" s="100"/>
      <c r="I94" s="128"/>
      <c r="J94" s="128"/>
      <c r="K94" s="128"/>
    </row>
    <row r="95" spans="1:14" x14ac:dyDescent="0.25">
      <c r="A95" s="98" t="s">
        <v>54</v>
      </c>
      <c r="B95" s="99" t="s">
        <v>352</v>
      </c>
      <c r="C95" s="100" t="s">
        <v>230</v>
      </c>
      <c r="D95" s="100">
        <f>D96+D97</f>
        <v>5122.8899999999994</v>
      </c>
      <c r="E95" s="100">
        <f t="shared" ref="E95:E99" si="27">M95</f>
        <v>1.8199999999999998</v>
      </c>
      <c r="F95" s="100">
        <f t="shared" ref="F95:F100" si="28">E95*D95</f>
        <v>9323.6597999999976</v>
      </c>
      <c r="G95" s="102" t="e">
        <f t="shared" ref="G95:G98" si="29">F95/$F$119</f>
        <v>#DIV/0!</v>
      </c>
      <c r="H95" s="82">
        <f t="shared" ref="H95:H98" si="30">I95*D95</f>
        <v>1536.8669999999997</v>
      </c>
      <c r="I95" s="128">
        <v>0.3</v>
      </c>
      <c r="J95" s="128">
        <v>0.8</v>
      </c>
      <c r="K95" s="128">
        <v>0.2</v>
      </c>
      <c r="L95" s="82">
        <f t="shared" si="20"/>
        <v>1.3</v>
      </c>
      <c r="M95" s="82">
        <f t="shared" ref="M95:M99" si="31">L95*$J$11</f>
        <v>1.8199999999999998</v>
      </c>
    </row>
    <row r="96" spans="1:14" x14ac:dyDescent="0.25">
      <c r="A96" s="98" t="s">
        <v>56</v>
      </c>
      <c r="B96" s="99" t="s">
        <v>353</v>
      </c>
      <c r="C96" s="100" t="s">
        <v>230</v>
      </c>
      <c r="D96" s="100">
        <v>4784.8599999999997</v>
      </c>
      <c r="E96" s="100">
        <f t="shared" si="27"/>
        <v>69.898348484848484</v>
      </c>
      <c r="F96" s="100">
        <f t="shared" si="28"/>
        <v>334453.81173121207</v>
      </c>
      <c r="G96" s="102" t="e">
        <f t="shared" si="29"/>
        <v>#DIV/0!</v>
      </c>
      <c r="H96" s="82">
        <f t="shared" si="30"/>
        <v>153251.0910333333</v>
      </c>
      <c r="I96" s="128">
        <f>[3]Planilha1!G67/6</f>
        <v>32.028333333333329</v>
      </c>
      <c r="J96" s="128">
        <f>$T$41/140</f>
        <v>12.809740259740259</v>
      </c>
      <c r="K96" s="128">
        <f>1.5*1*K19</f>
        <v>5.0893181818181823</v>
      </c>
      <c r="L96" s="82">
        <f t="shared" si="20"/>
        <v>49.927391774891774</v>
      </c>
      <c r="M96" s="82">
        <f t="shared" si="31"/>
        <v>69.898348484848484</v>
      </c>
      <c r="N96" s="82">
        <f>184/6</f>
        <v>30.666666666666668</v>
      </c>
    </row>
    <row r="97" spans="1:14" x14ac:dyDescent="0.25">
      <c r="A97" s="98" t="s">
        <v>147</v>
      </c>
      <c r="B97" s="99" t="s">
        <v>354</v>
      </c>
      <c r="C97" s="100" t="s">
        <v>230</v>
      </c>
      <c r="D97" s="100">
        <v>338.03</v>
      </c>
      <c r="E97" s="100">
        <f t="shared" si="27"/>
        <v>102.05868181818182</v>
      </c>
      <c r="F97" s="100">
        <f t="shared" si="28"/>
        <v>34498.896215000001</v>
      </c>
      <c r="G97" s="102" t="e">
        <f t="shared" si="29"/>
        <v>#DIV/0!</v>
      </c>
      <c r="H97" s="82">
        <f t="shared" si="30"/>
        <v>18591.649999999998</v>
      </c>
      <c r="I97" s="128">
        <f>[3]Planilha1!G68/6</f>
        <v>55</v>
      </c>
      <c r="J97" s="128">
        <f>J96</f>
        <v>12.809740259740259</v>
      </c>
      <c r="K97" s="128">
        <f>K96</f>
        <v>5.0893181818181823</v>
      </c>
      <c r="L97" s="82">
        <f t="shared" si="20"/>
        <v>72.899058441558452</v>
      </c>
      <c r="M97" s="82">
        <f t="shared" si="31"/>
        <v>102.05868181818182</v>
      </c>
      <c r="N97" s="82">
        <f>300/6</f>
        <v>50</v>
      </c>
    </row>
    <row r="98" spans="1:14" ht="25.5" x14ac:dyDescent="0.25">
      <c r="A98" s="98" t="s">
        <v>148</v>
      </c>
      <c r="B98" s="99" t="s">
        <v>355</v>
      </c>
      <c r="C98" s="100" t="s">
        <v>250</v>
      </c>
      <c r="D98" s="100">
        <v>66</v>
      </c>
      <c r="E98" s="100">
        <f t="shared" si="27"/>
        <v>4163.8989199668749</v>
      </c>
      <c r="F98" s="100">
        <f t="shared" si="28"/>
        <v>274817.32871781377</v>
      </c>
      <c r="G98" s="102" t="e">
        <f t="shared" si="29"/>
        <v>#DIV/0!</v>
      </c>
      <c r="H98" s="82">
        <f t="shared" si="30"/>
        <v>147981.95344129554</v>
      </c>
      <c r="I98" s="128">
        <f>I41</f>
        <v>2242.1508097165993</v>
      </c>
      <c r="J98" s="128">
        <f>J41</f>
        <v>700</v>
      </c>
      <c r="K98" s="128">
        <f>K41</f>
        <v>32.062704545454544</v>
      </c>
      <c r="L98" s="82">
        <f t="shared" si="20"/>
        <v>2974.2135142620536</v>
      </c>
      <c r="M98" s="82">
        <f t="shared" si="31"/>
        <v>4163.8989199668749</v>
      </c>
    </row>
    <row r="99" spans="1:14" x14ac:dyDescent="0.25">
      <c r="A99" s="98" t="s">
        <v>149</v>
      </c>
      <c r="B99" s="99" t="s">
        <v>356</v>
      </c>
      <c r="C99" s="100" t="s">
        <v>168</v>
      </c>
      <c r="D99" s="100">
        <v>1</v>
      </c>
      <c r="E99" s="100">
        <f t="shared" si="27"/>
        <v>126828.716</v>
      </c>
      <c r="F99" s="100">
        <f t="shared" si="28"/>
        <v>126828.716</v>
      </c>
      <c r="G99" s="102"/>
      <c r="H99" s="82">
        <f>I99</f>
        <v>90591.94</v>
      </c>
      <c r="I99" s="128">
        <v>90591.94</v>
      </c>
      <c r="J99" s="128">
        <v>0</v>
      </c>
      <c r="K99" s="128">
        <v>0</v>
      </c>
      <c r="L99" s="82">
        <f t="shared" si="20"/>
        <v>90591.94</v>
      </c>
      <c r="M99" s="82">
        <f t="shared" si="31"/>
        <v>126828.716</v>
      </c>
    </row>
    <row r="100" spans="1:14" x14ac:dyDescent="0.25">
      <c r="A100" s="98" t="s">
        <v>150</v>
      </c>
      <c r="B100" s="99" t="s">
        <v>357</v>
      </c>
      <c r="C100" s="100" t="s">
        <v>250</v>
      </c>
      <c r="D100" s="100">
        <v>667</v>
      </c>
      <c r="E100" s="100">
        <v>165</v>
      </c>
      <c r="F100" s="100">
        <f t="shared" si="28"/>
        <v>110055</v>
      </c>
      <c r="G100" s="102"/>
      <c r="I100" s="128"/>
      <c r="J100" s="128"/>
      <c r="K100" s="128"/>
    </row>
    <row r="101" spans="1:14" x14ac:dyDescent="0.25">
      <c r="A101" s="98"/>
      <c r="B101" s="99" t="s">
        <v>215</v>
      </c>
      <c r="C101" s="100"/>
      <c r="D101" s="100"/>
      <c r="E101" s="100"/>
      <c r="F101" s="100">
        <f>SUM(F94:F100)</f>
        <v>889977.4124640259</v>
      </c>
      <c r="I101" s="128"/>
      <c r="J101" s="128"/>
      <c r="K101" s="128"/>
    </row>
    <row r="102" spans="1:14" x14ac:dyDescent="0.25">
      <c r="A102" s="98"/>
      <c r="B102" s="99"/>
      <c r="C102" s="100"/>
      <c r="D102" s="100"/>
      <c r="E102" s="100"/>
      <c r="F102" s="100"/>
      <c r="I102" s="128"/>
      <c r="J102" s="128"/>
      <c r="K102" s="128"/>
    </row>
    <row r="103" spans="1:14" x14ac:dyDescent="0.25">
      <c r="A103" s="98">
        <v>6</v>
      </c>
      <c r="B103" s="99" t="s">
        <v>358</v>
      </c>
      <c r="C103" s="100"/>
      <c r="D103" s="100"/>
      <c r="E103" s="100"/>
      <c r="F103" s="100"/>
      <c r="I103" s="128"/>
      <c r="J103" s="128"/>
      <c r="K103" s="128"/>
    </row>
    <row r="104" spans="1:14" x14ac:dyDescent="0.25">
      <c r="A104" s="98" t="s">
        <v>58</v>
      </c>
      <c r="B104" s="99" t="s">
        <v>359</v>
      </c>
      <c r="C104" s="100" t="s">
        <v>168</v>
      </c>
      <c r="D104" s="100">
        <v>1</v>
      </c>
      <c r="E104" s="100">
        <f>G116*0.025</f>
        <v>200353.21371199941</v>
      </c>
      <c r="F104" s="100">
        <f t="shared" ref="F104:F109" si="32">E104*D104</f>
        <v>200353.21371199941</v>
      </c>
      <c r="G104" s="102">
        <f>F104/$F$116</f>
        <v>2.5032854173409967E-2</v>
      </c>
      <c r="H104" s="82">
        <f t="shared" ref="H104:H109" si="33">I104*D104</f>
        <v>0</v>
      </c>
      <c r="I104" s="128"/>
      <c r="J104" s="128"/>
      <c r="K104" s="128"/>
      <c r="L104" s="82">
        <f t="shared" ref="L104:L109" si="34">SUM(I104:K104)</f>
        <v>0</v>
      </c>
      <c r="M104" s="82">
        <f t="shared" ref="M104:M109" si="35">L104*$J$11</f>
        <v>0</v>
      </c>
    </row>
    <row r="105" spans="1:14" x14ac:dyDescent="0.25">
      <c r="A105" s="98"/>
      <c r="B105" s="99" t="s">
        <v>215</v>
      </c>
      <c r="C105" s="100"/>
      <c r="D105" s="100"/>
      <c r="E105" s="100"/>
      <c r="F105" s="100">
        <f>SUM(F104)</f>
        <v>200353.21371199941</v>
      </c>
      <c r="I105" s="128"/>
      <c r="J105" s="128"/>
      <c r="K105" s="128"/>
      <c r="L105" s="82">
        <f t="shared" si="34"/>
        <v>0</v>
      </c>
      <c r="M105" s="82">
        <f t="shared" si="35"/>
        <v>0</v>
      </c>
    </row>
    <row r="106" spans="1:14" x14ac:dyDescent="0.25">
      <c r="A106" s="98"/>
      <c r="B106" s="99"/>
      <c r="C106" s="100"/>
      <c r="D106" s="100"/>
      <c r="E106" s="100"/>
      <c r="F106" s="100"/>
      <c r="I106" s="128"/>
      <c r="J106" s="128"/>
      <c r="K106" s="128"/>
    </row>
    <row r="107" spans="1:14" x14ac:dyDescent="0.25">
      <c r="A107" s="98">
        <v>7</v>
      </c>
      <c r="B107" s="99" t="s">
        <v>360</v>
      </c>
      <c r="C107" s="100"/>
      <c r="D107" s="100"/>
      <c r="E107" s="100"/>
      <c r="F107" s="100"/>
      <c r="I107" s="128"/>
      <c r="J107" s="128"/>
      <c r="K107" s="128"/>
    </row>
    <row r="108" spans="1:14" x14ac:dyDescent="0.25">
      <c r="A108" s="98" t="s">
        <v>68</v>
      </c>
      <c r="B108" s="99" t="s">
        <v>361</v>
      </c>
      <c r="C108" s="100" t="s">
        <v>98</v>
      </c>
      <c r="D108" s="100">
        <v>1072.8800000000001</v>
      </c>
      <c r="E108" s="100">
        <f>M108</f>
        <v>73.08</v>
      </c>
      <c r="F108" s="100">
        <f t="shared" si="32"/>
        <v>78406.070400000011</v>
      </c>
      <c r="H108" s="82">
        <f t="shared" si="33"/>
        <v>37765.376000000004</v>
      </c>
      <c r="I108" s="128">
        <f>440*0.08</f>
        <v>35.200000000000003</v>
      </c>
      <c r="J108" s="128">
        <v>15</v>
      </c>
      <c r="K108" s="128">
        <v>2</v>
      </c>
      <c r="L108" s="82">
        <f t="shared" si="34"/>
        <v>52.2</v>
      </c>
      <c r="M108" s="82">
        <f t="shared" si="35"/>
        <v>73.08</v>
      </c>
    </row>
    <row r="109" spans="1:14" ht="25.5" x14ac:dyDescent="0.25">
      <c r="A109" s="98" t="s">
        <v>90</v>
      </c>
      <c r="B109" s="106" t="s">
        <v>362</v>
      </c>
      <c r="C109" s="107" t="s">
        <v>250</v>
      </c>
      <c r="D109" s="100">
        <v>75</v>
      </c>
      <c r="E109" s="100">
        <f>M109</f>
        <v>503.99999999999994</v>
      </c>
      <c r="F109" s="100">
        <f t="shared" si="32"/>
        <v>37799.999999999993</v>
      </c>
      <c r="H109" s="82">
        <f t="shared" si="33"/>
        <v>19125</v>
      </c>
      <c r="I109" s="128">
        <f>135+120</f>
        <v>255</v>
      </c>
      <c r="J109" s="128">
        <v>100</v>
      </c>
      <c r="K109" s="128">
        <v>5</v>
      </c>
      <c r="L109" s="82">
        <f t="shared" si="34"/>
        <v>360</v>
      </c>
      <c r="M109" s="82">
        <f t="shared" si="35"/>
        <v>503.99999999999994</v>
      </c>
    </row>
    <row r="110" spans="1:14" x14ac:dyDescent="0.25">
      <c r="A110" s="98"/>
      <c r="B110" s="99" t="s">
        <v>215</v>
      </c>
      <c r="C110" s="100"/>
      <c r="D110" s="100"/>
      <c r="E110" s="100"/>
      <c r="F110" s="100">
        <f>SUM(F108:F109)</f>
        <v>116206.0704</v>
      </c>
      <c r="I110" s="128"/>
      <c r="J110" s="128"/>
      <c r="K110" s="128"/>
    </row>
    <row r="111" spans="1:14" x14ac:dyDescent="0.25">
      <c r="A111" s="98"/>
      <c r="B111" s="99"/>
      <c r="C111" s="100"/>
      <c r="D111" s="100"/>
      <c r="E111" s="100"/>
      <c r="F111" s="100"/>
      <c r="I111" s="128"/>
      <c r="J111" s="128"/>
      <c r="K111" s="128"/>
    </row>
    <row r="112" spans="1:14" x14ac:dyDescent="0.25">
      <c r="A112" s="108">
        <v>10</v>
      </c>
      <c r="B112" s="109" t="s">
        <v>363</v>
      </c>
      <c r="C112" s="110"/>
      <c r="D112" s="110"/>
      <c r="E112" s="110"/>
      <c r="F112" s="110"/>
      <c r="G112" s="83"/>
      <c r="I112" s="128"/>
      <c r="J112" s="128"/>
      <c r="K112" s="128"/>
    </row>
    <row r="113" spans="1:11" x14ac:dyDescent="0.25">
      <c r="A113" s="108" t="s">
        <v>364</v>
      </c>
      <c r="B113" s="109" t="s">
        <v>365</v>
      </c>
      <c r="C113" s="110" t="s">
        <v>168</v>
      </c>
      <c r="D113" s="111">
        <f>H116</f>
        <v>3270773.6436116179</v>
      </c>
      <c r="E113" s="111">
        <f>H117*-1</f>
        <v>-327077.36436116183</v>
      </c>
      <c r="F113" s="110">
        <f>E113</f>
        <v>-327077.36436116183</v>
      </c>
      <c r="I113" s="128"/>
      <c r="J113" s="128"/>
      <c r="K113" s="128"/>
    </row>
    <row r="114" spans="1:11" x14ac:dyDescent="0.25">
      <c r="A114" s="108"/>
      <c r="B114" s="112" t="s">
        <v>215</v>
      </c>
      <c r="C114" s="113"/>
      <c r="D114" s="113"/>
      <c r="E114" s="113"/>
      <c r="F114" s="113">
        <f>SUM(F113)</f>
        <v>-327077.36436116183</v>
      </c>
      <c r="I114" s="128"/>
      <c r="J114" s="128"/>
      <c r="K114" s="128"/>
    </row>
    <row r="115" spans="1:11" x14ac:dyDescent="0.25">
      <c r="A115" s="114"/>
      <c r="B115" s="115"/>
      <c r="C115" s="116"/>
      <c r="D115" s="116"/>
      <c r="E115" s="116"/>
      <c r="F115" s="116"/>
    </row>
    <row r="116" spans="1:11" x14ac:dyDescent="0.25">
      <c r="A116" s="92"/>
      <c r="B116" s="93"/>
      <c r="C116" s="94"/>
      <c r="D116" s="94"/>
      <c r="E116" s="94"/>
      <c r="F116" s="94">
        <f>SUM(F16:F115)/2</f>
        <v>8003610.4682308137</v>
      </c>
      <c r="G116" s="117">
        <f>SUM(F16:F101)/2</f>
        <v>8014128.5484799761</v>
      </c>
      <c r="H116" s="82">
        <f>SUM(H10:H105)</f>
        <v>3270773.6436116179</v>
      </c>
    </row>
    <row r="117" spans="1:11" x14ac:dyDescent="0.25">
      <c r="H117" s="82">
        <f>H116*0.1</f>
        <v>327077.36436116183</v>
      </c>
    </row>
    <row r="141" spans="1:6" x14ac:dyDescent="0.25">
      <c r="A141" s="325" t="s">
        <v>366</v>
      </c>
      <c r="B141" s="325"/>
      <c r="C141" s="325"/>
      <c r="D141" s="325"/>
      <c r="E141" s="325"/>
      <c r="F141" s="325"/>
    </row>
    <row r="142" spans="1:6" x14ac:dyDescent="0.25">
      <c r="A142" s="325" t="s">
        <v>367</v>
      </c>
      <c r="B142" s="325"/>
      <c r="C142" s="325"/>
      <c r="D142" s="325"/>
      <c r="E142" s="325"/>
      <c r="F142" s="325"/>
    </row>
    <row r="143" spans="1:6" x14ac:dyDescent="0.25">
      <c r="F143" s="82">
        <f>F116-H116</f>
        <v>4732836.8246191964</v>
      </c>
    </row>
    <row r="144" spans="1:6" x14ac:dyDescent="0.25">
      <c r="F144" s="82">
        <f>F143/12</f>
        <v>394403.06871826638</v>
      </c>
    </row>
    <row r="145" spans="6:10" x14ac:dyDescent="0.25">
      <c r="F145" s="82">
        <f>F144*M11</f>
        <v>67330.238159761182</v>
      </c>
    </row>
    <row r="146" spans="6:10" x14ac:dyDescent="0.25">
      <c r="F146" s="83"/>
    </row>
    <row r="151" spans="6:10" x14ac:dyDescent="0.25">
      <c r="H151" s="326" t="s">
        <v>368</v>
      </c>
      <c r="I151" s="326"/>
      <c r="J151" s="326"/>
    </row>
    <row r="152" spans="6:10" x14ac:dyDescent="0.25">
      <c r="H152" s="82">
        <v>5</v>
      </c>
      <c r="I152" s="82">
        <v>8</v>
      </c>
      <c r="J152" s="82">
        <f>I152*H152</f>
        <v>40</v>
      </c>
    </row>
    <row r="153" spans="6:10" x14ac:dyDescent="0.25">
      <c r="H153" s="82">
        <v>4</v>
      </c>
      <c r="I153" s="82">
        <v>6</v>
      </c>
      <c r="J153" s="82">
        <f t="shared" ref="J153:J158" si="36">I153*H153</f>
        <v>24</v>
      </c>
    </row>
    <row r="154" spans="6:10" x14ac:dyDescent="0.25">
      <c r="H154" s="82">
        <v>4</v>
      </c>
      <c r="I154" s="82">
        <v>1</v>
      </c>
      <c r="J154" s="82">
        <f t="shared" si="36"/>
        <v>4</v>
      </c>
    </row>
    <row r="155" spans="6:10" x14ac:dyDescent="0.25">
      <c r="H155" s="82">
        <v>2</v>
      </c>
      <c r="I155" s="82">
        <v>1</v>
      </c>
      <c r="J155" s="82">
        <f t="shared" si="36"/>
        <v>2</v>
      </c>
    </row>
    <row r="156" spans="6:10" x14ac:dyDescent="0.25">
      <c r="H156" s="82">
        <v>5</v>
      </c>
      <c r="I156" s="82">
        <v>8</v>
      </c>
      <c r="J156" s="82">
        <f t="shared" si="36"/>
        <v>40</v>
      </c>
    </row>
    <row r="157" spans="6:10" x14ac:dyDescent="0.25">
      <c r="H157" s="82">
        <v>1</v>
      </c>
      <c r="I157" s="82">
        <v>6</v>
      </c>
      <c r="J157" s="82">
        <f t="shared" si="36"/>
        <v>6</v>
      </c>
    </row>
    <row r="158" spans="6:10" x14ac:dyDescent="0.25">
      <c r="H158" s="82">
        <v>1</v>
      </c>
      <c r="I158" s="82">
        <v>26</v>
      </c>
      <c r="J158" s="82">
        <f t="shared" si="36"/>
        <v>26</v>
      </c>
    </row>
    <row r="159" spans="6:10" x14ac:dyDescent="0.25">
      <c r="J159" s="82">
        <f>SUM(J152:J158)</f>
        <v>142</v>
      </c>
    </row>
  </sheetData>
  <mergeCells count="5">
    <mergeCell ref="A6:F6"/>
    <mergeCell ref="B11:F11"/>
    <mergeCell ref="A141:F141"/>
    <mergeCell ref="A142:F142"/>
    <mergeCell ref="H151:J151"/>
  </mergeCells>
  <printOptions horizontalCentered="1"/>
  <pageMargins left="0.55118110236220474" right="0.55118110236220474" top="0.59055118110236227" bottom="0.59055118110236227" header="0.51181102362204722" footer="0.51181102362204722"/>
  <pageSetup paperSize="256" scale="96" fitToHeight="0" orientation="portrait" useFirstPageNumber="1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5B75-076B-4D26-94F8-0D98C276FB16}">
  <dimension ref="B2:B32"/>
  <sheetViews>
    <sheetView showGridLines="0" zoomScale="85" zoomScaleNormal="85" workbookViewId="0">
      <selection activeCell="C27" sqref="C27"/>
    </sheetView>
  </sheetViews>
  <sheetFormatPr defaultRowHeight="15" x14ac:dyDescent="0.25"/>
  <cols>
    <col min="2" max="2" width="8.85546875" style="122"/>
  </cols>
  <sheetData>
    <row r="2" spans="2:2" x14ac:dyDescent="0.25">
      <c r="B2" s="122">
        <v>1</v>
      </c>
    </row>
    <row r="3" spans="2:2" x14ac:dyDescent="0.25">
      <c r="B3" s="122">
        <v>2</v>
      </c>
    </row>
    <row r="4" spans="2:2" x14ac:dyDescent="0.25">
      <c r="B4" s="122">
        <v>3</v>
      </c>
    </row>
    <row r="5" spans="2:2" x14ac:dyDescent="0.25">
      <c r="B5" s="122">
        <v>4</v>
      </c>
    </row>
    <row r="6" spans="2:2" x14ac:dyDescent="0.25">
      <c r="B6" s="122">
        <v>5</v>
      </c>
    </row>
    <row r="7" spans="2:2" x14ac:dyDescent="0.25">
      <c r="B7" s="122">
        <v>6</v>
      </c>
    </row>
    <row r="8" spans="2:2" x14ac:dyDescent="0.25">
      <c r="B8" s="122">
        <v>7</v>
      </c>
    </row>
    <row r="9" spans="2:2" x14ac:dyDescent="0.25">
      <c r="B9" s="122">
        <v>8</v>
      </c>
    </row>
    <row r="10" spans="2:2" x14ac:dyDescent="0.25">
      <c r="B10" s="122">
        <v>9</v>
      </c>
    </row>
    <row r="11" spans="2:2" x14ac:dyDescent="0.25">
      <c r="B11" s="122">
        <v>10</v>
      </c>
    </row>
    <row r="12" spans="2:2" x14ac:dyDescent="0.25">
      <c r="B12" s="122">
        <v>11</v>
      </c>
    </row>
    <row r="13" spans="2:2" x14ac:dyDescent="0.25">
      <c r="B13" s="122">
        <v>12</v>
      </c>
    </row>
    <row r="14" spans="2:2" x14ac:dyDescent="0.25">
      <c r="B14" s="122">
        <v>13</v>
      </c>
    </row>
    <row r="15" spans="2:2" x14ac:dyDescent="0.25">
      <c r="B15" s="122">
        <v>14</v>
      </c>
    </row>
    <row r="16" spans="2:2" x14ac:dyDescent="0.25">
      <c r="B16" s="122">
        <v>15</v>
      </c>
    </row>
    <row r="17" spans="2:2" x14ac:dyDescent="0.25">
      <c r="B17" s="122">
        <v>16</v>
      </c>
    </row>
    <row r="18" spans="2:2" x14ac:dyDescent="0.25">
      <c r="B18" s="122">
        <v>17</v>
      </c>
    </row>
    <row r="19" spans="2:2" x14ac:dyDescent="0.25">
      <c r="B19" s="122">
        <v>18</v>
      </c>
    </row>
    <row r="20" spans="2:2" x14ac:dyDescent="0.25">
      <c r="B20" s="122">
        <v>19</v>
      </c>
    </row>
    <row r="21" spans="2:2" x14ac:dyDescent="0.25">
      <c r="B21" s="122">
        <v>20</v>
      </c>
    </row>
    <row r="22" spans="2:2" x14ac:dyDescent="0.25">
      <c r="B22" s="122">
        <v>21</v>
      </c>
    </row>
    <row r="23" spans="2:2" x14ac:dyDescent="0.25">
      <c r="B23" s="122">
        <v>22</v>
      </c>
    </row>
    <row r="24" spans="2:2" x14ac:dyDescent="0.25">
      <c r="B24" s="122">
        <v>23</v>
      </c>
    </row>
    <row r="25" spans="2:2" x14ac:dyDescent="0.25">
      <c r="B25" s="122">
        <v>24</v>
      </c>
    </row>
    <row r="26" spans="2:2" x14ac:dyDescent="0.25">
      <c r="B26" s="122">
        <v>25</v>
      </c>
    </row>
    <row r="27" spans="2:2" x14ac:dyDescent="0.25">
      <c r="B27" s="122">
        <v>26</v>
      </c>
    </row>
    <row r="28" spans="2:2" x14ac:dyDescent="0.25">
      <c r="B28" s="122">
        <v>27</v>
      </c>
    </row>
    <row r="29" spans="2:2" x14ac:dyDescent="0.25">
      <c r="B29" s="122">
        <v>28</v>
      </c>
    </row>
    <row r="30" spans="2:2" x14ac:dyDescent="0.25">
      <c r="B30" s="122">
        <v>29</v>
      </c>
    </row>
    <row r="31" spans="2:2" x14ac:dyDescent="0.25">
      <c r="B31" s="122">
        <v>30</v>
      </c>
    </row>
    <row r="32" spans="2:2" x14ac:dyDescent="0.25">
      <c r="B32" s="122">
        <v>31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50499-4EF0-41B4-98BA-2EC09C7306CE}">
  <dimension ref="A1:F14"/>
  <sheetViews>
    <sheetView showGridLines="0" zoomScale="85" zoomScaleNormal="85" workbookViewId="0">
      <pane xSplit="5" ySplit="3" topLeftCell="F4" activePane="bottomRight" state="frozen"/>
      <selection pane="topRight" activeCell="G1" sqref="G1"/>
      <selection pane="bottomLeft" activeCell="A4" sqref="A4"/>
      <selection pane="bottomRight" activeCell="F11" sqref="F11"/>
    </sheetView>
  </sheetViews>
  <sheetFormatPr defaultRowHeight="15" x14ac:dyDescent="0.25"/>
  <cols>
    <col min="1" max="1" width="13" customWidth="1"/>
    <col min="2" max="2" width="13.140625" customWidth="1"/>
    <col min="3" max="3" width="12.28515625" customWidth="1"/>
    <col min="4" max="4" width="6.7109375" customWidth="1"/>
    <col min="5" max="5" width="9.7109375" bestFit="1" customWidth="1"/>
    <col min="6" max="6" width="23.7109375" bestFit="1" customWidth="1"/>
  </cols>
  <sheetData>
    <row r="1" spans="1:6" ht="18.75" customHeight="1" x14ac:dyDescent="0.25">
      <c r="A1" s="49" t="s">
        <v>96</v>
      </c>
      <c r="B1" s="50">
        <v>667</v>
      </c>
      <c r="C1" s="51" t="s">
        <v>97</v>
      </c>
      <c r="D1" s="336" t="s">
        <v>102</v>
      </c>
      <c r="E1" s="337"/>
      <c r="F1" s="52" t="s">
        <v>91</v>
      </c>
    </row>
    <row r="2" spans="1:6" ht="17.25" customHeight="1" thickBot="1" x14ac:dyDescent="0.3">
      <c r="A2" s="53" t="s">
        <v>99</v>
      </c>
      <c r="B2" s="54">
        <v>139239.04999999999</v>
      </c>
      <c r="C2" s="55" t="s">
        <v>98</v>
      </c>
      <c r="D2" s="334" t="s">
        <v>101</v>
      </c>
      <c r="E2" s="335"/>
      <c r="F2" s="56" t="s">
        <v>93</v>
      </c>
    </row>
    <row r="3" spans="1:6" ht="19.5" thickBot="1" x14ac:dyDescent="0.3">
      <c r="A3" s="57" t="s">
        <v>100</v>
      </c>
      <c r="B3" s="58"/>
      <c r="C3" s="58"/>
      <c r="D3" s="59"/>
      <c r="E3" s="60"/>
      <c r="F3" s="48" t="e">
        <f>(#REF!-F5)/#REF!</f>
        <v>#REF!</v>
      </c>
    </row>
    <row r="4" spans="1:6" ht="16.5" customHeight="1" thickBot="1" x14ac:dyDescent="0.3">
      <c r="A4" s="45"/>
      <c r="B4" s="344"/>
      <c r="C4" s="345"/>
      <c r="D4" s="345"/>
      <c r="E4" s="346"/>
      <c r="F4" s="46">
        <f t="shared" ref="F4" si="0">F5/$B$2</f>
        <v>58.268846968048123</v>
      </c>
    </row>
    <row r="5" spans="1:6" ht="18.75" customHeight="1" thickBot="1" x14ac:dyDescent="0.3">
      <c r="A5" s="347" t="s">
        <v>92</v>
      </c>
      <c r="B5" s="348"/>
      <c r="C5" s="348"/>
      <c r="D5" s="348"/>
      <c r="E5" s="349"/>
      <c r="F5" s="2">
        <f t="shared" ref="F5" si="1">SUM(F6:F13)</f>
        <v>8113298.8964264002</v>
      </c>
    </row>
    <row r="6" spans="1:6" x14ac:dyDescent="0.25">
      <c r="A6" s="27">
        <v>1</v>
      </c>
      <c r="B6" s="350" t="s">
        <v>88</v>
      </c>
      <c r="C6" s="351"/>
      <c r="D6" s="351"/>
      <c r="E6" s="352"/>
      <c r="F6" s="28">
        <v>160120</v>
      </c>
    </row>
    <row r="7" spans="1:6" ht="15" customHeight="1" x14ac:dyDescent="0.25">
      <c r="A7" s="29">
        <v>2</v>
      </c>
      <c r="B7" s="338" t="s">
        <v>6</v>
      </c>
      <c r="C7" s="339"/>
      <c r="D7" s="339"/>
      <c r="E7" s="340"/>
      <c r="F7" s="30">
        <v>781673.26211999997</v>
      </c>
    </row>
    <row r="8" spans="1:6" ht="15" customHeight="1" x14ac:dyDescent="0.25">
      <c r="A8" s="29">
        <v>3</v>
      </c>
      <c r="B8" s="338" t="s">
        <v>15</v>
      </c>
      <c r="C8" s="339"/>
      <c r="D8" s="339"/>
      <c r="E8" s="340"/>
      <c r="F8" s="30">
        <v>1370263.7154999999</v>
      </c>
    </row>
    <row r="9" spans="1:6" ht="15" customHeight="1" x14ac:dyDescent="0.25">
      <c r="A9" s="29">
        <v>4</v>
      </c>
      <c r="B9" s="338" t="s">
        <v>33</v>
      </c>
      <c r="C9" s="339"/>
      <c r="D9" s="339"/>
      <c r="E9" s="340"/>
      <c r="F9" s="30">
        <v>603540.72629999998</v>
      </c>
    </row>
    <row r="10" spans="1:6" ht="15" customHeight="1" x14ac:dyDescent="0.25">
      <c r="A10" s="29">
        <v>5</v>
      </c>
      <c r="B10" s="338" t="s">
        <v>45</v>
      </c>
      <c r="C10" s="339"/>
      <c r="D10" s="339"/>
      <c r="E10" s="340"/>
      <c r="F10" s="30">
        <v>820131.20200000005</v>
      </c>
    </row>
    <row r="11" spans="1:6" ht="15" customHeight="1" x14ac:dyDescent="0.25">
      <c r="A11" s="29">
        <v>6</v>
      </c>
      <c r="B11" s="338" t="s">
        <v>53</v>
      </c>
      <c r="C11" s="339"/>
      <c r="D11" s="339"/>
      <c r="E11" s="340"/>
      <c r="F11" s="30">
        <v>663033.11620000005</v>
      </c>
    </row>
    <row r="12" spans="1:6" ht="15" customHeight="1" x14ac:dyDescent="0.25">
      <c r="A12" s="29">
        <v>7</v>
      </c>
      <c r="B12" s="338" t="s">
        <v>57</v>
      </c>
      <c r="C12" s="339"/>
      <c r="D12" s="339"/>
      <c r="E12" s="340"/>
      <c r="F12" s="30">
        <v>3636130.8039063998</v>
      </c>
    </row>
    <row r="13" spans="1:6" ht="15" customHeight="1" thickBot="1" x14ac:dyDescent="0.3">
      <c r="A13" s="31">
        <v>8</v>
      </c>
      <c r="B13" s="341" t="s">
        <v>67</v>
      </c>
      <c r="C13" s="342"/>
      <c r="D13" s="342"/>
      <c r="E13" s="343"/>
      <c r="F13" s="32">
        <v>78406.070400000026</v>
      </c>
    </row>
    <row r="14" spans="1:6" s="33" customFormat="1" x14ac:dyDescent="0.25">
      <c r="F14" s="34">
        <v>0</v>
      </c>
    </row>
  </sheetData>
  <mergeCells count="12">
    <mergeCell ref="D2:E2"/>
    <mergeCell ref="D1:E1"/>
    <mergeCell ref="B11:E11"/>
    <mergeCell ref="B12:E12"/>
    <mergeCell ref="B13:E13"/>
    <mergeCell ref="B4:E4"/>
    <mergeCell ref="A5:E5"/>
    <mergeCell ref="B6:E6"/>
    <mergeCell ref="B7:E7"/>
    <mergeCell ref="B8:E8"/>
    <mergeCell ref="B9:E9"/>
    <mergeCell ref="B10:E10"/>
  </mergeCells>
  <pageMargins left="0.51181102362204722" right="0.51181102362204722" top="0.78740157480314965" bottom="0.78740157480314965" header="0.31496062992125984" footer="0.31496062992125984"/>
  <pageSetup paperSize="9" scale="5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A36C-B959-439B-AF19-33241E98A9E8}">
  <dimension ref="A1:J70"/>
  <sheetViews>
    <sheetView showGridLines="0" zoomScale="70" zoomScaleNormal="7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A2" sqref="A2:F70"/>
    </sheetView>
  </sheetViews>
  <sheetFormatPr defaultRowHeight="15" x14ac:dyDescent="0.25"/>
  <cols>
    <col min="1" max="1" width="7.85546875" customWidth="1"/>
    <col min="2" max="2" width="88.42578125" customWidth="1"/>
    <col min="3" max="3" width="14.42578125" customWidth="1"/>
    <col min="4" max="4" width="7.42578125" customWidth="1"/>
    <col min="5" max="6" width="19.85546875" bestFit="1" customWidth="1"/>
    <col min="8" max="8" width="25.85546875" bestFit="1" customWidth="1"/>
    <col min="10" max="10" width="22.140625" bestFit="1" customWidth="1"/>
  </cols>
  <sheetData>
    <row r="1" spans="1:10" ht="61.5" customHeight="1" thickBot="1" x14ac:dyDescent="0.3">
      <c r="A1" s="353"/>
      <c r="B1" s="354"/>
      <c r="C1" s="353" t="s">
        <v>95</v>
      </c>
      <c r="D1" s="355"/>
      <c r="E1" s="1" t="s">
        <v>91</v>
      </c>
      <c r="F1" s="35" t="s">
        <v>94</v>
      </c>
      <c r="H1" s="36" t="e">
        <f>SUM(H3:H70)</f>
        <v>#VALUE!</v>
      </c>
      <c r="J1" s="37" t="e">
        <f>H1+H71+H189</f>
        <v>#VALUE!</v>
      </c>
    </row>
    <row r="2" spans="1:10" ht="18.75" thickBot="1" x14ac:dyDescent="0.3">
      <c r="A2" s="19">
        <v>1</v>
      </c>
      <c r="B2" s="20" t="s">
        <v>88</v>
      </c>
      <c r="C2" s="21"/>
      <c r="D2" s="22"/>
      <c r="E2" s="22"/>
      <c r="F2" s="43"/>
      <c r="H2" s="39"/>
    </row>
    <row r="3" spans="1:10" ht="15.75" x14ac:dyDescent="0.25">
      <c r="A3" s="23" t="s">
        <v>7</v>
      </c>
      <c r="B3" s="24" t="s">
        <v>103</v>
      </c>
      <c r="C3" s="13">
        <v>1</v>
      </c>
      <c r="D3" s="25" t="s">
        <v>32</v>
      </c>
      <c r="E3" s="26">
        <v>12000</v>
      </c>
      <c r="F3" s="44">
        <f>IFERROR(SMALL(E3:E3,1),"")</f>
        <v>12000</v>
      </c>
      <c r="H3" s="40">
        <f>F3*C3</f>
        <v>12000</v>
      </c>
    </row>
    <row r="4" spans="1:10" ht="15.75" x14ac:dyDescent="0.25">
      <c r="A4" s="3" t="s">
        <v>9</v>
      </c>
      <c r="B4" s="4" t="s">
        <v>104</v>
      </c>
      <c r="C4" s="5">
        <v>322</v>
      </c>
      <c r="D4" s="6" t="s">
        <v>11</v>
      </c>
      <c r="E4" s="26">
        <v>460</v>
      </c>
      <c r="F4" s="44">
        <f>IFERROR(SMALL(E4:E4,1),"")</f>
        <v>460</v>
      </c>
      <c r="H4" s="41">
        <f>F4*C4</f>
        <v>148120</v>
      </c>
    </row>
    <row r="5" spans="1:10" ht="16.5" thickBot="1" x14ac:dyDescent="0.3">
      <c r="A5" s="3">
        <v>13</v>
      </c>
      <c r="B5" s="4" t="s">
        <v>178</v>
      </c>
      <c r="C5" s="5"/>
      <c r="D5" s="6"/>
      <c r="E5" s="26"/>
      <c r="F5" s="44" t="str">
        <f>IFERROR(SMALL(E5:E5,1),"")</f>
        <v/>
      </c>
      <c r="H5" s="41" t="e">
        <f>F5*C5</f>
        <v>#VALUE!</v>
      </c>
    </row>
    <row r="6" spans="1:10" ht="18.75" thickBot="1" x14ac:dyDescent="0.3">
      <c r="A6" s="19">
        <v>1</v>
      </c>
      <c r="B6" s="20" t="s">
        <v>6</v>
      </c>
      <c r="C6" s="21"/>
      <c r="D6" s="22"/>
      <c r="E6" s="22"/>
      <c r="F6" s="43"/>
      <c r="H6" s="39"/>
    </row>
    <row r="7" spans="1:10" ht="15.75" x14ac:dyDescent="0.25">
      <c r="A7" s="23" t="s">
        <v>7</v>
      </c>
      <c r="B7" s="24" t="s">
        <v>10</v>
      </c>
      <c r="C7" s="13">
        <v>39676.239999999998</v>
      </c>
      <c r="D7" s="25" t="s">
        <v>11</v>
      </c>
      <c r="E7" s="26">
        <v>7.92</v>
      </c>
      <c r="F7" s="44">
        <f t="shared" ref="F7:F38" si="0">IFERROR(SMALL(E7:E7,1),"")</f>
        <v>7.92</v>
      </c>
      <c r="H7" s="40">
        <f>F7*C7</f>
        <v>314235.82079999999</v>
      </c>
    </row>
    <row r="8" spans="1:10" ht="15.75" x14ac:dyDescent="0.25">
      <c r="A8" s="3" t="s">
        <v>9</v>
      </c>
      <c r="B8" s="4" t="s">
        <v>13</v>
      </c>
      <c r="C8" s="5">
        <v>51579.112000000001</v>
      </c>
      <c r="D8" s="6" t="s">
        <v>11</v>
      </c>
      <c r="E8" s="26">
        <v>5.46</v>
      </c>
      <c r="F8" s="44">
        <f t="shared" si="0"/>
        <v>5.46</v>
      </c>
      <c r="H8" s="41">
        <f>F8*C8</f>
        <v>281621.95152</v>
      </c>
    </row>
    <row r="9" spans="1:10" ht="16.5" thickBot="1" x14ac:dyDescent="0.3">
      <c r="A9" s="3" t="s">
        <v>12</v>
      </c>
      <c r="B9" s="4" t="s">
        <v>14</v>
      </c>
      <c r="C9" s="5">
        <v>13592.94</v>
      </c>
      <c r="D9" s="6" t="s">
        <v>11</v>
      </c>
      <c r="E9" s="26">
        <v>13.67</v>
      </c>
      <c r="F9" s="44">
        <f t="shared" si="0"/>
        <v>13.67</v>
      </c>
      <c r="H9" s="47">
        <f>F9*C9</f>
        <v>185815.48980000001</v>
      </c>
    </row>
    <row r="10" spans="1:10" ht="18.75" thickBot="1" x14ac:dyDescent="0.3">
      <c r="A10" s="19">
        <v>3</v>
      </c>
      <c r="B10" s="20" t="s">
        <v>15</v>
      </c>
      <c r="C10" s="21"/>
      <c r="D10" s="22"/>
      <c r="E10" s="22"/>
      <c r="F10" s="43" t="str">
        <f t="shared" si="0"/>
        <v/>
      </c>
      <c r="H10" s="39"/>
    </row>
    <row r="11" spans="1:10" ht="15.75" x14ac:dyDescent="0.25">
      <c r="A11" s="7" t="s">
        <v>34</v>
      </c>
      <c r="B11" s="8" t="s">
        <v>17</v>
      </c>
      <c r="C11" s="9"/>
      <c r="D11" s="10"/>
      <c r="E11" s="11"/>
      <c r="F11" s="42" t="str">
        <f t="shared" si="0"/>
        <v/>
      </c>
      <c r="H11" s="42" t="str">
        <f>IFERROR(SMALL(F11:G11,1),"")</f>
        <v/>
      </c>
    </row>
    <row r="12" spans="1:10" ht="15.75" x14ac:dyDescent="0.25">
      <c r="A12" s="3" t="s">
        <v>35</v>
      </c>
      <c r="B12" s="12" t="s">
        <v>108</v>
      </c>
      <c r="C12" s="13">
        <v>347.5</v>
      </c>
      <c r="D12" s="6" t="s">
        <v>19</v>
      </c>
      <c r="E12" s="26">
        <v>215.35</v>
      </c>
      <c r="F12" s="44">
        <f t="shared" si="0"/>
        <v>215.35</v>
      </c>
      <c r="H12" s="41">
        <f t="shared" ref="H12:H25" si="1">F12*C12</f>
        <v>74834.125</v>
      </c>
    </row>
    <row r="13" spans="1:10" ht="15.75" x14ac:dyDescent="0.25">
      <c r="A13" s="3" t="s">
        <v>36</v>
      </c>
      <c r="B13" s="12" t="s">
        <v>109</v>
      </c>
      <c r="C13" s="14">
        <v>1370.34</v>
      </c>
      <c r="D13" s="6" t="s">
        <v>19</v>
      </c>
      <c r="E13" s="26">
        <v>308.81</v>
      </c>
      <c r="F13" s="44">
        <f t="shared" si="0"/>
        <v>308.81</v>
      </c>
      <c r="H13" s="41">
        <f t="shared" si="1"/>
        <v>423174.69539999997</v>
      </c>
    </row>
    <row r="14" spans="1:10" ht="15.75" x14ac:dyDescent="0.25">
      <c r="A14" s="3" t="s">
        <v>37</v>
      </c>
      <c r="B14" s="12" t="s">
        <v>110</v>
      </c>
      <c r="C14" s="14">
        <v>182.83</v>
      </c>
      <c r="D14" s="6" t="s">
        <v>19</v>
      </c>
      <c r="E14" s="26">
        <v>849.22</v>
      </c>
      <c r="F14" s="44">
        <f t="shared" si="0"/>
        <v>849.22</v>
      </c>
      <c r="H14" s="41">
        <f t="shared" si="1"/>
        <v>155262.89260000002</v>
      </c>
    </row>
    <row r="15" spans="1:10" ht="15.75" x14ac:dyDescent="0.25">
      <c r="A15" s="3" t="s">
        <v>38</v>
      </c>
      <c r="B15" s="12" t="s">
        <v>111</v>
      </c>
      <c r="C15" s="14">
        <v>183.25</v>
      </c>
      <c r="D15" s="6" t="s">
        <v>19</v>
      </c>
      <c r="E15" s="26">
        <v>1318.69</v>
      </c>
      <c r="F15" s="44">
        <f t="shared" si="0"/>
        <v>1318.69</v>
      </c>
      <c r="H15" s="41">
        <f t="shared" si="1"/>
        <v>241649.9425</v>
      </c>
    </row>
    <row r="16" spans="1:10" ht="15.75" x14ac:dyDescent="0.25">
      <c r="A16" s="3" t="s">
        <v>39</v>
      </c>
      <c r="B16" s="12" t="s">
        <v>25</v>
      </c>
      <c r="C16" s="14">
        <v>10</v>
      </c>
      <c r="D16" s="6" t="s">
        <v>26</v>
      </c>
      <c r="E16" s="26">
        <v>2417.33</v>
      </c>
      <c r="F16" s="44">
        <f t="shared" si="0"/>
        <v>2417.33</v>
      </c>
      <c r="H16" s="41">
        <f t="shared" si="1"/>
        <v>24173.3</v>
      </c>
    </row>
    <row r="17" spans="1:8" ht="15.75" x14ac:dyDescent="0.25">
      <c r="A17" s="3" t="s">
        <v>40</v>
      </c>
      <c r="B17" s="12" t="s">
        <v>76</v>
      </c>
      <c r="C17" s="14">
        <v>50</v>
      </c>
      <c r="D17" s="6" t="s">
        <v>26</v>
      </c>
      <c r="E17" s="26">
        <v>4422.42</v>
      </c>
      <c r="F17" s="44">
        <f t="shared" si="0"/>
        <v>4422.42</v>
      </c>
      <c r="H17" s="41">
        <f t="shared" si="1"/>
        <v>221121</v>
      </c>
    </row>
    <row r="18" spans="1:8" ht="30" x14ac:dyDescent="0.25">
      <c r="A18" s="3" t="s">
        <v>41</v>
      </c>
      <c r="B18" s="12" t="s">
        <v>77</v>
      </c>
      <c r="C18" s="14">
        <v>31</v>
      </c>
      <c r="D18" s="6" t="s">
        <v>26</v>
      </c>
      <c r="E18" s="26">
        <v>4163.8999999999996</v>
      </c>
      <c r="F18" s="44">
        <f t="shared" si="0"/>
        <v>4163.8999999999996</v>
      </c>
      <c r="H18" s="41">
        <f t="shared" si="1"/>
        <v>129080.9</v>
      </c>
    </row>
    <row r="19" spans="1:8" ht="30" x14ac:dyDescent="0.25">
      <c r="A19" s="3" t="s">
        <v>42</v>
      </c>
      <c r="B19" s="12" t="s">
        <v>78</v>
      </c>
      <c r="C19" s="14">
        <v>13</v>
      </c>
      <c r="D19" s="6" t="s">
        <v>26</v>
      </c>
      <c r="E19" s="26">
        <v>4163.8999999999996</v>
      </c>
      <c r="F19" s="44">
        <f t="shared" si="0"/>
        <v>4163.8999999999996</v>
      </c>
      <c r="H19" s="41">
        <f t="shared" si="1"/>
        <v>54130.7</v>
      </c>
    </row>
    <row r="20" spans="1:8" ht="30" x14ac:dyDescent="0.25">
      <c r="A20" s="3" t="s">
        <v>43</v>
      </c>
      <c r="B20" s="12" t="s">
        <v>79</v>
      </c>
      <c r="C20" s="14">
        <v>3</v>
      </c>
      <c r="D20" s="6" t="s">
        <v>26</v>
      </c>
      <c r="E20" s="26">
        <v>4163.8999999999996</v>
      </c>
      <c r="F20" s="44">
        <f t="shared" si="0"/>
        <v>4163.8999999999996</v>
      </c>
      <c r="H20" s="41">
        <f t="shared" si="1"/>
        <v>12491.699999999999</v>
      </c>
    </row>
    <row r="21" spans="1:8" ht="30" x14ac:dyDescent="0.25">
      <c r="A21" s="3" t="s">
        <v>117</v>
      </c>
      <c r="B21" s="12" t="s">
        <v>112</v>
      </c>
      <c r="C21" s="14">
        <v>4</v>
      </c>
      <c r="D21" s="6" t="s">
        <v>26</v>
      </c>
      <c r="E21" s="26">
        <v>4163.8999999999996</v>
      </c>
      <c r="F21" s="44">
        <f t="shared" si="0"/>
        <v>4163.8999999999996</v>
      </c>
      <c r="H21" s="41">
        <f t="shared" si="1"/>
        <v>16655.599999999999</v>
      </c>
    </row>
    <row r="22" spans="1:8" ht="15.75" x14ac:dyDescent="0.25">
      <c r="A22" s="3" t="s">
        <v>118</v>
      </c>
      <c r="B22" s="12" t="s">
        <v>113</v>
      </c>
      <c r="C22" s="14">
        <v>1</v>
      </c>
      <c r="D22" s="6" t="s">
        <v>26</v>
      </c>
      <c r="E22" s="26">
        <v>8844.43</v>
      </c>
      <c r="F22" s="44">
        <f t="shared" si="0"/>
        <v>8844.43</v>
      </c>
      <c r="H22" s="41">
        <f t="shared" si="1"/>
        <v>8844.43</v>
      </c>
    </row>
    <row r="23" spans="1:8" ht="15.75" x14ac:dyDescent="0.25">
      <c r="A23" s="3" t="s">
        <v>119</v>
      </c>
      <c r="B23" s="12" t="s">
        <v>114</v>
      </c>
      <c r="C23" s="14">
        <v>1</v>
      </c>
      <c r="D23" s="6" t="s">
        <v>26</v>
      </c>
      <c r="E23" s="26">
        <v>8844.43</v>
      </c>
      <c r="F23" s="44">
        <f t="shared" si="0"/>
        <v>8844.43</v>
      </c>
      <c r="H23" s="41">
        <f t="shared" si="1"/>
        <v>8844.43</v>
      </c>
    </row>
    <row r="24" spans="1:8" ht="15.75" x14ac:dyDescent="0.25">
      <c r="A24" s="3" t="s">
        <v>120</v>
      </c>
      <c r="B24" s="12" t="s">
        <v>115</v>
      </c>
      <c r="C24" s="14"/>
      <c r="D24" s="6"/>
      <c r="E24" s="26"/>
      <c r="F24" s="44" t="str">
        <f t="shared" si="0"/>
        <v/>
      </c>
      <c r="H24" s="41" t="e">
        <f t="shared" si="1"/>
        <v>#VALUE!</v>
      </c>
    </row>
    <row r="25" spans="1:8" ht="16.5" thickBot="1" x14ac:dyDescent="0.3">
      <c r="A25" s="3" t="s">
        <v>121</v>
      </c>
      <c r="B25" s="12" t="s">
        <v>116</v>
      </c>
      <c r="C25" s="14"/>
      <c r="D25" s="6"/>
      <c r="E25" s="26"/>
      <c r="F25" s="44" t="str">
        <f t="shared" si="0"/>
        <v/>
      </c>
      <c r="H25" s="41" t="e">
        <f t="shared" si="1"/>
        <v>#VALUE!</v>
      </c>
    </row>
    <row r="26" spans="1:8" ht="18.75" thickBot="1" x14ac:dyDescent="0.3">
      <c r="A26" s="19">
        <v>4</v>
      </c>
      <c r="B26" s="20" t="s">
        <v>33</v>
      </c>
      <c r="C26" s="21"/>
      <c r="D26" s="22"/>
      <c r="E26" s="22"/>
      <c r="F26" s="43" t="str">
        <f t="shared" si="0"/>
        <v/>
      </c>
      <c r="H26" s="39"/>
    </row>
    <row r="27" spans="1:8" ht="15.75" x14ac:dyDescent="0.25">
      <c r="A27" s="7" t="s">
        <v>46</v>
      </c>
      <c r="B27" s="8" t="s">
        <v>17</v>
      </c>
      <c r="C27" s="9"/>
      <c r="D27" s="10"/>
      <c r="E27" s="11"/>
      <c r="F27" s="42" t="str">
        <f t="shared" si="0"/>
        <v/>
      </c>
      <c r="H27" s="42" t="str">
        <f>IFERROR(SMALL(F27:G27,1),"")</f>
        <v/>
      </c>
    </row>
    <row r="28" spans="1:8" ht="15.75" x14ac:dyDescent="0.25">
      <c r="A28" s="3" t="s">
        <v>47</v>
      </c>
      <c r="B28" s="12" t="s">
        <v>122</v>
      </c>
      <c r="C28" s="13">
        <v>7327.33</v>
      </c>
      <c r="D28" s="6" t="s">
        <v>19</v>
      </c>
      <c r="E28" s="26">
        <v>35.65</v>
      </c>
      <c r="F28" s="44">
        <f t="shared" si="0"/>
        <v>35.65</v>
      </c>
      <c r="H28" s="41">
        <f t="shared" ref="H28:H44" si="2">F28*C28</f>
        <v>261219.31449999998</v>
      </c>
    </row>
    <row r="29" spans="1:8" ht="15.75" x14ac:dyDescent="0.25">
      <c r="A29" s="3" t="s">
        <v>49</v>
      </c>
      <c r="B29" s="12" t="s">
        <v>123</v>
      </c>
      <c r="C29" s="14">
        <v>409.85</v>
      </c>
      <c r="D29" s="6" t="s">
        <v>19</v>
      </c>
      <c r="E29" s="26">
        <v>50.33</v>
      </c>
      <c r="F29" s="44">
        <f t="shared" si="0"/>
        <v>50.33</v>
      </c>
      <c r="H29" s="41">
        <f t="shared" si="2"/>
        <v>20627.750500000002</v>
      </c>
    </row>
    <row r="30" spans="1:8" ht="15.75" x14ac:dyDescent="0.25">
      <c r="A30" s="3" t="s">
        <v>50</v>
      </c>
      <c r="B30" s="12" t="s">
        <v>80</v>
      </c>
      <c r="C30" s="14">
        <v>330.87</v>
      </c>
      <c r="D30" s="6" t="s">
        <v>19</v>
      </c>
      <c r="E30" s="26">
        <v>70.349999999999994</v>
      </c>
      <c r="F30" s="44">
        <f t="shared" si="0"/>
        <v>70.349999999999994</v>
      </c>
      <c r="H30" s="41">
        <f t="shared" si="2"/>
        <v>23276.7045</v>
      </c>
    </row>
    <row r="31" spans="1:8" ht="15.75" x14ac:dyDescent="0.25">
      <c r="A31" s="3" t="s">
        <v>51</v>
      </c>
      <c r="B31" s="12" t="s">
        <v>124</v>
      </c>
      <c r="C31" s="14">
        <v>363.81</v>
      </c>
      <c r="D31" s="6" t="s">
        <v>19</v>
      </c>
      <c r="E31" s="26">
        <v>117.28</v>
      </c>
      <c r="F31" s="44">
        <f t="shared" si="0"/>
        <v>117.28</v>
      </c>
      <c r="H31" s="41">
        <f t="shared" si="2"/>
        <v>42667.6368</v>
      </c>
    </row>
    <row r="32" spans="1:8" ht="15.75" x14ac:dyDescent="0.25">
      <c r="A32" s="3" t="s">
        <v>134</v>
      </c>
      <c r="B32" s="12" t="s">
        <v>125</v>
      </c>
      <c r="C32" s="14">
        <v>64</v>
      </c>
      <c r="D32" s="6" t="s">
        <v>26</v>
      </c>
      <c r="E32" s="26">
        <v>854.78</v>
      </c>
      <c r="F32" s="44">
        <f t="shared" si="0"/>
        <v>854.78</v>
      </c>
      <c r="H32" s="41">
        <f t="shared" si="2"/>
        <v>54705.919999999998</v>
      </c>
    </row>
    <row r="33" spans="1:8" ht="15.75" x14ac:dyDescent="0.25">
      <c r="A33" s="3" t="s">
        <v>135</v>
      </c>
      <c r="B33" s="12" t="s">
        <v>126</v>
      </c>
      <c r="C33" s="14">
        <v>6</v>
      </c>
      <c r="D33" s="6" t="s">
        <v>26</v>
      </c>
      <c r="E33" s="26">
        <v>957.26</v>
      </c>
      <c r="F33" s="44">
        <f t="shared" si="0"/>
        <v>957.26</v>
      </c>
      <c r="H33" s="41">
        <f t="shared" si="2"/>
        <v>5743.5599999999995</v>
      </c>
    </row>
    <row r="34" spans="1:8" ht="15.75" x14ac:dyDescent="0.25">
      <c r="A34" s="3" t="s">
        <v>136</v>
      </c>
      <c r="B34" s="12" t="s">
        <v>44</v>
      </c>
      <c r="C34" s="14">
        <v>3</v>
      </c>
      <c r="D34" s="6" t="s">
        <v>26</v>
      </c>
      <c r="E34" s="26">
        <v>1268.18</v>
      </c>
      <c r="F34" s="44">
        <f t="shared" si="0"/>
        <v>1268.18</v>
      </c>
      <c r="H34" s="41">
        <f t="shared" si="2"/>
        <v>3804.54</v>
      </c>
    </row>
    <row r="35" spans="1:8" ht="30" x14ac:dyDescent="0.25">
      <c r="A35" s="3" t="s">
        <v>137</v>
      </c>
      <c r="B35" s="12" t="s">
        <v>81</v>
      </c>
      <c r="C35" s="14">
        <v>1</v>
      </c>
      <c r="D35" s="6" t="s">
        <v>26</v>
      </c>
      <c r="E35" s="26">
        <v>2194</v>
      </c>
      <c r="F35" s="44">
        <f t="shared" si="0"/>
        <v>2194</v>
      </c>
      <c r="H35" s="41">
        <f t="shared" si="2"/>
        <v>2194</v>
      </c>
    </row>
    <row r="36" spans="1:8" ht="15.75" x14ac:dyDescent="0.25">
      <c r="A36" s="3" t="s">
        <v>138</v>
      </c>
      <c r="B36" s="12" t="s">
        <v>127</v>
      </c>
      <c r="C36" s="14">
        <v>75</v>
      </c>
      <c r="D36" s="6" t="s">
        <v>26</v>
      </c>
      <c r="E36" s="26">
        <v>504</v>
      </c>
      <c r="F36" s="44">
        <f t="shared" si="0"/>
        <v>504</v>
      </c>
      <c r="H36" s="41">
        <f t="shared" si="2"/>
        <v>37800</v>
      </c>
    </row>
    <row r="37" spans="1:8" ht="15.75" x14ac:dyDescent="0.25">
      <c r="A37" s="3" t="s">
        <v>139</v>
      </c>
      <c r="B37" s="12" t="s">
        <v>82</v>
      </c>
      <c r="C37" s="14">
        <v>1</v>
      </c>
      <c r="D37" s="6" t="s">
        <v>26</v>
      </c>
      <c r="E37" s="26">
        <v>9443</v>
      </c>
      <c r="F37" s="44">
        <f t="shared" si="0"/>
        <v>9443</v>
      </c>
      <c r="H37" s="41">
        <f t="shared" si="2"/>
        <v>9443</v>
      </c>
    </row>
    <row r="38" spans="1:8" ht="15.75" x14ac:dyDescent="0.25">
      <c r="A38" s="3" t="s">
        <v>140</v>
      </c>
      <c r="B38" s="12" t="s">
        <v>128</v>
      </c>
      <c r="C38" s="14">
        <v>1</v>
      </c>
      <c r="D38" s="6"/>
      <c r="E38" s="26"/>
      <c r="F38" s="44" t="str">
        <f t="shared" si="0"/>
        <v/>
      </c>
      <c r="H38" s="41" t="e">
        <f t="shared" si="2"/>
        <v>#VALUE!</v>
      </c>
    </row>
    <row r="39" spans="1:8" ht="15.75" x14ac:dyDescent="0.25">
      <c r="A39" s="3" t="s">
        <v>141</v>
      </c>
      <c r="B39" s="12" t="s">
        <v>129</v>
      </c>
      <c r="C39" s="14"/>
      <c r="D39" s="6"/>
      <c r="E39" s="26"/>
      <c r="F39" s="44" t="str">
        <f t="shared" ref="F39:F70" si="3">IFERROR(SMALL(E39:E39,1),"")</f>
        <v/>
      </c>
      <c r="H39" s="41" t="e">
        <f t="shared" si="2"/>
        <v>#VALUE!</v>
      </c>
    </row>
    <row r="40" spans="1:8" ht="15.75" x14ac:dyDescent="0.25">
      <c r="A40" s="3" t="s">
        <v>142</v>
      </c>
      <c r="B40" s="12" t="s">
        <v>130</v>
      </c>
      <c r="C40" s="13"/>
      <c r="D40" s="6"/>
      <c r="E40" s="26"/>
      <c r="F40" s="44" t="str">
        <f t="shared" si="3"/>
        <v/>
      </c>
      <c r="H40" s="41" t="e">
        <f t="shared" si="2"/>
        <v>#VALUE!</v>
      </c>
    </row>
    <row r="41" spans="1:8" ht="15.75" x14ac:dyDescent="0.25">
      <c r="A41" s="3" t="s">
        <v>143</v>
      </c>
      <c r="B41" s="12" t="s">
        <v>131</v>
      </c>
      <c r="C41" s="14"/>
      <c r="D41" s="6"/>
      <c r="E41" s="26"/>
      <c r="F41" s="44" t="str">
        <f t="shared" si="3"/>
        <v/>
      </c>
      <c r="H41" s="41" t="e">
        <f t="shared" si="2"/>
        <v>#VALUE!</v>
      </c>
    </row>
    <row r="42" spans="1:8" ht="15.75" x14ac:dyDescent="0.25">
      <c r="A42" s="3" t="s">
        <v>144</v>
      </c>
      <c r="B42" s="12" t="s">
        <v>132</v>
      </c>
      <c r="C42" s="14"/>
      <c r="D42" s="6"/>
      <c r="E42" s="26"/>
      <c r="F42" s="44" t="str">
        <f t="shared" si="3"/>
        <v/>
      </c>
      <c r="H42" s="41" t="e">
        <f t="shared" si="2"/>
        <v>#VALUE!</v>
      </c>
    </row>
    <row r="43" spans="1:8" ht="15.75" x14ac:dyDescent="0.25">
      <c r="A43" s="3" t="s">
        <v>145</v>
      </c>
      <c r="B43" s="12" t="s">
        <v>133</v>
      </c>
      <c r="C43" s="14"/>
      <c r="D43" s="6"/>
      <c r="E43" s="26"/>
      <c r="F43" s="44" t="str">
        <f t="shared" si="3"/>
        <v/>
      </c>
      <c r="H43" s="41" t="e">
        <f t="shared" si="2"/>
        <v>#VALUE!</v>
      </c>
    </row>
    <row r="44" spans="1:8" ht="15.75" x14ac:dyDescent="0.25">
      <c r="A44" s="3" t="s">
        <v>146</v>
      </c>
      <c r="B44" s="12"/>
      <c r="C44" s="14"/>
      <c r="D44" s="6"/>
      <c r="E44" s="26"/>
      <c r="F44" s="44" t="str">
        <f t="shared" si="3"/>
        <v/>
      </c>
      <c r="H44" s="41" t="e">
        <f t="shared" si="2"/>
        <v>#VALUE!</v>
      </c>
    </row>
    <row r="45" spans="1:8" ht="15.75" x14ac:dyDescent="0.25">
      <c r="A45" s="7" t="s">
        <v>89</v>
      </c>
      <c r="B45" s="8" t="s">
        <v>166</v>
      </c>
      <c r="C45" s="9"/>
      <c r="D45" s="10"/>
      <c r="E45" s="11"/>
      <c r="F45" s="42" t="str">
        <f t="shared" si="3"/>
        <v/>
      </c>
      <c r="H45" s="42" t="str">
        <f>IFERROR(SMALL(F45:G45,1),"")</f>
        <v/>
      </c>
    </row>
    <row r="46" spans="1:8" ht="15.75" x14ac:dyDescent="0.25">
      <c r="A46" s="3" t="s">
        <v>47</v>
      </c>
      <c r="B46" s="12" t="s">
        <v>167</v>
      </c>
      <c r="C46" s="13">
        <v>7327.33</v>
      </c>
      <c r="D46" s="6" t="s">
        <v>19</v>
      </c>
      <c r="E46" s="26">
        <v>8411.2000000000007</v>
      </c>
      <c r="F46" s="44">
        <f t="shared" si="3"/>
        <v>8411.2000000000007</v>
      </c>
      <c r="H46" s="41">
        <f>F46*C46</f>
        <v>61631638.096000008</v>
      </c>
    </row>
    <row r="47" spans="1:8" ht="16.5" thickBot="1" x14ac:dyDescent="0.3">
      <c r="A47" s="3" t="s">
        <v>49</v>
      </c>
      <c r="B47" s="12" t="s">
        <v>82</v>
      </c>
      <c r="C47" s="14"/>
      <c r="D47" s="6"/>
      <c r="E47" s="26">
        <v>133647.09999999998</v>
      </c>
      <c r="F47" s="44">
        <f t="shared" si="3"/>
        <v>133647.09999999998</v>
      </c>
      <c r="H47" s="41">
        <f>F47*C47</f>
        <v>0</v>
      </c>
    </row>
    <row r="48" spans="1:8" ht="18.75" thickBot="1" x14ac:dyDescent="0.3">
      <c r="A48" s="19">
        <v>5</v>
      </c>
      <c r="B48" s="20" t="s">
        <v>45</v>
      </c>
      <c r="C48" s="21"/>
      <c r="D48" s="22"/>
      <c r="E48" s="22"/>
      <c r="F48" s="43" t="str">
        <f t="shared" si="3"/>
        <v/>
      </c>
      <c r="H48" s="39"/>
    </row>
    <row r="49" spans="1:8" ht="15.75" x14ac:dyDescent="0.25">
      <c r="A49" s="7" t="s">
        <v>54</v>
      </c>
      <c r="B49" s="8" t="s">
        <v>17</v>
      </c>
      <c r="C49" s="9"/>
      <c r="D49" s="10"/>
      <c r="E49" s="11"/>
      <c r="F49" s="42" t="str">
        <f t="shared" si="3"/>
        <v/>
      </c>
      <c r="H49" s="42" t="str">
        <f>IFERROR(SMALL(F49:G49,1),"")</f>
        <v/>
      </c>
    </row>
    <row r="50" spans="1:8" ht="15.75" x14ac:dyDescent="0.25">
      <c r="A50" s="3" t="s">
        <v>170</v>
      </c>
      <c r="B50" s="12" t="s">
        <v>48</v>
      </c>
      <c r="C50" s="13">
        <v>4328.88</v>
      </c>
      <c r="D50" s="6" t="s">
        <v>19</v>
      </c>
      <c r="E50" s="26">
        <v>71.86</v>
      </c>
      <c r="F50" s="44">
        <f t="shared" si="3"/>
        <v>71.86</v>
      </c>
      <c r="H50" s="41">
        <f t="shared" ref="H50:H56" si="4">F50*C50</f>
        <v>311073.31680000003</v>
      </c>
    </row>
    <row r="51" spans="1:8" ht="15.75" x14ac:dyDescent="0.25">
      <c r="A51" s="3" t="s">
        <v>171</v>
      </c>
      <c r="B51" s="12" t="s">
        <v>153</v>
      </c>
      <c r="C51" s="14">
        <v>267.26</v>
      </c>
      <c r="D51" s="6" t="s">
        <v>19</v>
      </c>
      <c r="E51" s="26">
        <v>104.02000000000001</v>
      </c>
      <c r="F51" s="44">
        <f t="shared" si="3"/>
        <v>104.02000000000001</v>
      </c>
      <c r="H51" s="41">
        <f t="shared" si="4"/>
        <v>27800.385200000001</v>
      </c>
    </row>
    <row r="52" spans="1:8" ht="30" x14ac:dyDescent="0.25">
      <c r="A52" s="3" t="s">
        <v>172</v>
      </c>
      <c r="B52" s="12" t="s">
        <v>154</v>
      </c>
      <c r="C52" s="5">
        <v>54</v>
      </c>
      <c r="D52" s="6" t="s">
        <v>26</v>
      </c>
      <c r="E52" s="26">
        <v>4163.8999999999996</v>
      </c>
      <c r="F52" s="44">
        <f t="shared" si="3"/>
        <v>4163.8999999999996</v>
      </c>
      <c r="H52" s="41">
        <f t="shared" si="4"/>
        <v>224850.59999999998</v>
      </c>
    </row>
    <row r="53" spans="1:8" ht="30" x14ac:dyDescent="0.25">
      <c r="A53" s="3" t="s">
        <v>173</v>
      </c>
      <c r="B53" s="12" t="s">
        <v>155</v>
      </c>
      <c r="C53" s="14">
        <v>1</v>
      </c>
      <c r="D53" s="6" t="s">
        <v>26</v>
      </c>
      <c r="E53" s="26">
        <v>4163.8999999999996</v>
      </c>
      <c r="F53" s="44">
        <f t="shared" si="3"/>
        <v>4163.8999999999996</v>
      </c>
      <c r="H53" s="41">
        <f t="shared" si="4"/>
        <v>4163.8999999999996</v>
      </c>
    </row>
    <row r="54" spans="1:8" ht="30" x14ac:dyDescent="0.25">
      <c r="A54" s="3" t="s">
        <v>174</v>
      </c>
      <c r="B54" s="12" t="s">
        <v>156</v>
      </c>
      <c r="C54" s="5">
        <v>1</v>
      </c>
      <c r="D54" s="6" t="s">
        <v>26</v>
      </c>
      <c r="E54" s="26">
        <v>4163.8999999999996</v>
      </c>
      <c r="F54" s="44">
        <f t="shared" si="3"/>
        <v>4163.8999999999996</v>
      </c>
      <c r="H54" s="41">
        <f t="shared" si="4"/>
        <v>4163.8999999999996</v>
      </c>
    </row>
    <row r="55" spans="1:8" ht="15.75" x14ac:dyDescent="0.25">
      <c r="A55" s="3" t="s">
        <v>175</v>
      </c>
      <c r="B55" s="12" t="s">
        <v>52</v>
      </c>
      <c r="C55" s="14">
        <v>709</v>
      </c>
      <c r="D55" s="6" t="s">
        <v>26</v>
      </c>
      <c r="E55" s="26">
        <v>349.9</v>
      </c>
      <c r="F55" s="44">
        <f t="shared" si="3"/>
        <v>349.9</v>
      </c>
      <c r="H55" s="41">
        <f t="shared" si="4"/>
        <v>248079.09999999998</v>
      </c>
    </row>
    <row r="56" spans="1:8" ht="15.75" x14ac:dyDescent="0.25">
      <c r="A56" s="3" t="s">
        <v>176</v>
      </c>
      <c r="B56" s="12" t="s">
        <v>157</v>
      </c>
      <c r="C56" s="5"/>
      <c r="D56" s="6"/>
      <c r="E56" s="26"/>
      <c r="F56" s="44" t="str">
        <f t="shared" si="3"/>
        <v/>
      </c>
      <c r="H56" s="41" t="e">
        <f t="shared" si="4"/>
        <v>#VALUE!</v>
      </c>
    </row>
    <row r="57" spans="1:8" ht="16.5" thickBot="1" x14ac:dyDescent="0.3">
      <c r="A57" s="3" t="s">
        <v>177</v>
      </c>
      <c r="B57" s="12" t="s">
        <v>158</v>
      </c>
      <c r="C57" s="14"/>
      <c r="D57" s="6"/>
      <c r="E57" s="26"/>
      <c r="F57" s="44" t="str">
        <f t="shared" si="3"/>
        <v/>
      </c>
      <c r="H57" s="41"/>
    </row>
    <row r="58" spans="1:8" ht="18.75" thickBot="1" x14ac:dyDescent="0.3">
      <c r="A58" s="19">
        <v>6</v>
      </c>
      <c r="B58" s="20" t="s">
        <v>53</v>
      </c>
      <c r="C58" s="21"/>
      <c r="D58" s="22"/>
      <c r="E58" s="22"/>
      <c r="F58" s="43" t="str">
        <f t="shared" si="3"/>
        <v/>
      </c>
      <c r="H58" s="39"/>
    </row>
    <row r="59" spans="1:8" ht="19.5" thickBot="1" x14ac:dyDescent="0.3">
      <c r="A59" s="16" t="s">
        <v>58</v>
      </c>
      <c r="B59" s="15" t="s">
        <v>55</v>
      </c>
      <c r="C59" s="17">
        <v>8679.58</v>
      </c>
      <c r="D59" s="18" t="s">
        <v>19</v>
      </c>
      <c r="E59" s="26">
        <v>76.39</v>
      </c>
      <c r="F59" s="44">
        <f t="shared" si="3"/>
        <v>76.39</v>
      </c>
      <c r="H59" s="41">
        <f>F59*C59</f>
        <v>663033.11620000005</v>
      </c>
    </row>
    <row r="60" spans="1:8" ht="18.75" thickBot="1" x14ac:dyDescent="0.3">
      <c r="A60" s="19">
        <v>7</v>
      </c>
      <c r="B60" s="20" t="s">
        <v>57</v>
      </c>
      <c r="C60" s="21"/>
      <c r="D60" s="22"/>
      <c r="E60" s="22"/>
      <c r="F60" s="43" t="str">
        <f t="shared" si="3"/>
        <v/>
      </c>
      <c r="H60" s="39"/>
    </row>
    <row r="61" spans="1:8" ht="15.75" x14ac:dyDescent="0.25">
      <c r="A61" s="7" t="s">
        <v>68</v>
      </c>
      <c r="B61" s="8" t="s">
        <v>87</v>
      </c>
      <c r="C61" s="9"/>
      <c r="D61" s="10"/>
      <c r="E61" s="11"/>
      <c r="F61" s="42" t="str">
        <f t="shared" si="3"/>
        <v/>
      </c>
      <c r="H61" s="42" t="str">
        <f>IFERROR(SMALL(F61:G61,1),"")</f>
        <v/>
      </c>
    </row>
    <row r="62" spans="1:8" ht="15.75" x14ac:dyDescent="0.25">
      <c r="A62" s="3" t="s">
        <v>59</v>
      </c>
      <c r="B62" s="12" t="s">
        <v>60</v>
      </c>
      <c r="C62" s="13">
        <v>43670.68</v>
      </c>
      <c r="D62" s="6" t="s">
        <v>8</v>
      </c>
      <c r="E62" s="26">
        <v>5.5</v>
      </c>
      <c r="F62" s="44">
        <f t="shared" si="3"/>
        <v>5.5</v>
      </c>
      <c r="H62" s="41">
        <f t="shared" ref="H62:H67" si="5">F62*C62</f>
        <v>240188.74</v>
      </c>
    </row>
    <row r="63" spans="1:8" ht="15.75" x14ac:dyDescent="0.25">
      <c r="A63" s="3" t="s">
        <v>61</v>
      </c>
      <c r="B63" s="12" t="s">
        <v>83</v>
      </c>
      <c r="C63" s="14">
        <v>43670.68</v>
      </c>
      <c r="D63" s="6" t="s">
        <v>8</v>
      </c>
      <c r="E63" s="26">
        <v>4.53</v>
      </c>
      <c r="F63" s="44">
        <f t="shared" si="3"/>
        <v>4.53</v>
      </c>
      <c r="H63" s="41">
        <f t="shared" si="5"/>
        <v>197828.18040000001</v>
      </c>
    </row>
    <row r="64" spans="1:8" ht="15.75" x14ac:dyDescent="0.25">
      <c r="A64" s="3" t="s">
        <v>62</v>
      </c>
      <c r="B64" s="12" t="s">
        <v>84</v>
      </c>
      <c r="C64" s="14">
        <v>43670.68</v>
      </c>
      <c r="D64" s="6" t="s">
        <v>8</v>
      </c>
      <c r="E64" s="26">
        <v>3.02</v>
      </c>
      <c r="F64" s="44">
        <f t="shared" si="3"/>
        <v>3.02</v>
      </c>
      <c r="H64" s="41">
        <f t="shared" si="5"/>
        <v>131885.45360000001</v>
      </c>
    </row>
    <row r="65" spans="1:8" ht="15.75" x14ac:dyDescent="0.25">
      <c r="A65" s="3" t="s">
        <v>63</v>
      </c>
      <c r="B65" s="12" t="s">
        <v>85</v>
      </c>
      <c r="C65" s="14">
        <v>41066.805999999997</v>
      </c>
      <c r="D65" s="6" t="s">
        <v>8</v>
      </c>
      <c r="E65" s="26">
        <v>22.330000000000002</v>
      </c>
      <c r="F65" s="44">
        <f t="shared" si="3"/>
        <v>22.330000000000002</v>
      </c>
      <c r="H65" s="41">
        <f t="shared" si="5"/>
        <v>917021.77798000001</v>
      </c>
    </row>
    <row r="66" spans="1:8" ht="15.75" x14ac:dyDescent="0.25">
      <c r="A66" s="3" t="s">
        <v>64</v>
      </c>
      <c r="B66" s="12" t="s">
        <v>65</v>
      </c>
      <c r="C66" s="14">
        <v>41066.805999999997</v>
      </c>
      <c r="D66" s="6" t="s">
        <v>8</v>
      </c>
      <c r="E66" s="26">
        <v>4.13</v>
      </c>
      <c r="F66" s="44">
        <f t="shared" si="3"/>
        <v>4.13</v>
      </c>
      <c r="H66" s="41">
        <f t="shared" si="5"/>
        <v>169605.90877999997</v>
      </c>
    </row>
    <row r="67" spans="1:8" ht="16.5" thickBot="1" x14ac:dyDescent="0.3">
      <c r="A67" s="3" t="s">
        <v>66</v>
      </c>
      <c r="B67" s="12" t="s">
        <v>86</v>
      </c>
      <c r="C67" s="14">
        <v>41066.805999999997</v>
      </c>
      <c r="D67" s="6" t="s">
        <v>8</v>
      </c>
      <c r="E67" s="26">
        <v>48.2044</v>
      </c>
      <c r="F67" s="44">
        <f t="shared" si="3"/>
        <v>48.2044</v>
      </c>
      <c r="H67" s="41">
        <f t="shared" si="5"/>
        <v>1979600.7431463997</v>
      </c>
    </row>
    <row r="68" spans="1:8" ht="18.75" thickBot="1" x14ac:dyDescent="0.3">
      <c r="A68" s="19">
        <v>8</v>
      </c>
      <c r="B68" s="20" t="s">
        <v>67</v>
      </c>
      <c r="C68" s="21"/>
      <c r="D68" s="22"/>
      <c r="E68" s="22"/>
      <c r="F68" s="43" t="str">
        <f t="shared" si="3"/>
        <v/>
      </c>
      <c r="H68" s="38" t="str">
        <f>IFERROR(SMALL(F68:G68,1),"")</f>
        <v/>
      </c>
    </row>
    <row r="69" spans="1:8" ht="15.75" x14ac:dyDescent="0.25">
      <c r="A69" s="3" t="s">
        <v>68</v>
      </c>
      <c r="B69" s="12" t="s">
        <v>162</v>
      </c>
      <c r="C69" s="13">
        <v>1072.8800000000001</v>
      </c>
      <c r="D69" s="6" t="s">
        <v>8</v>
      </c>
      <c r="E69" s="26">
        <v>73.080000000000013</v>
      </c>
      <c r="F69" s="44">
        <f t="shared" si="3"/>
        <v>73.080000000000013</v>
      </c>
      <c r="H69" s="41">
        <f>F69*C69</f>
        <v>78406.070400000026</v>
      </c>
    </row>
    <row r="70" spans="1:8" ht="15.75" x14ac:dyDescent="0.25">
      <c r="A70" s="3" t="s">
        <v>90</v>
      </c>
      <c r="B70" s="12" t="s">
        <v>163</v>
      </c>
      <c r="C70" s="14"/>
      <c r="D70" s="6"/>
      <c r="E70" s="26"/>
      <c r="F70" s="44" t="str">
        <f t="shared" si="3"/>
        <v/>
      </c>
      <c r="H70" s="41"/>
    </row>
  </sheetData>
  <mergeCells count="2">
    <mergeCell ref="A1:B1"/>
    <mergeCell ref="C1:D1"/>
  </mergeCells>
  <phoneticPr fontId="17" type="noConversion"/>
  <conditionalFormatting sqref="E3:E5 E7:E9 E12:E25 E28:E44 E46:E47 E50:E57 E59 E62:E67 E69:E70">
    <cfRule type="expression" dxfId="1" priority="24">
      <formula>E3=LARGE($E3:$E3,1)</formula>
    </cfRule>
  </conditionalFormatting>
  <conditionalFormatting sqref="E3:F5 E7:F9 E12:F25 E28:F44 E46:F47 E50:F57 E59:F59 E62:F67 E69:F70">
    <cfRule type="expression" dxfId="0" priority="33">
      <formula>E3=SMALL($E3:$E3,1)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13</vt:i4>
      </vt:variant>
    </vt:vector>
  </HeadingPairs>
  <TitlesOfParts>
    <vt:vector size="23" baseType="lpstr">
      <vt:lpstr>ORÇAMENTO</vt:lpstr>
      <vt:lpstr>MATERIAIS</vt:lpstr>
      <vt:lpstr>CRONOGRAMA</vt:lpstr>
      <vt:lpstr>MAT.</vt:lpstr>
      <vt:lpstr>HISTOGRAMA</vt:lpstr>
      <vt:lpstr>Sheet1</vt:lpstr>
      <vt:lpstr>Planilha1</vt:lpstr>
      <vt:lpstr>Resumo</vt:lpstr>
      <vt:lpstr>Preço unitário</vt:lpstr>
      <vt:lpstr>Planilha2</vt:lpstr>
      <vt:lpstr>CRONOGRAMA!Area_de_impressao</vt:lpstr>
      <vt:lpstr>HISTOGRAMA!Area_de_impressao</vt:lpstr>
      <vt:lpstr>MAT.!Area_de_impressao</vt:lpstr>
      <vt:lpstr>MATERIAIS!Area_de_impressao</vt:lpstr>
      <vt:lpstr>ORÇAMENTO!Area_de_impressao</vt:lpstr>
      <vt:lpstr>Sheet1!Area_de_impressao</vt:lpstr>
      <vt:lpstr>MAT.!Print_Area</vt:lpstr>
      <vt:lpstr>Sheet1!Print_Area</vt:lpstr>
      <vt:lpstr>MAT.!Print_Titles</vt:lpstr>
      <vt:lpstr>Sheet1!Print_Titles</vt:lpstr>
      <vt:lpstr>HISTOGRAMA!Titulos_de_impressao</vt:lpstr>
      <vt:lpstr>MAT.!Titulos_de_impressao</vt:lpstr>
      <vt:lpstr>Sheet1!Titulos_de_impressao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Maicon Alves</dc:creator>
  <cp:lastModifiedBy>Cid Ougaske</cp:lastModifiedBy>
  <cp:lastPrinted>2025-08-07T13:46:21Z</cp:lastPrinted>
  <dcterms:created xsi:type="dcterms:W3CDTF">2025-07-21T18:56:44Z</dcterms:created>
  <dcterms:modified xsi:type="dcterms:W3CDTF">2025-11-23T23:13:35Z</dcterms:modified>
</cp:coreProperties>
</file>